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0" activeTab="0"/>
  </bookViews>
  <sheets>
    <sheet name="var n.1" sheetId="1" r:id="rId1"/>
    <sheet name="var 2,2018" sheetId="2" r:id="rId2"/>
    <sheet name="AGGIUDICAZIONE" sheetId="3" r:id="rId3"/>
    <sheet name="Foglio3" sheetId="4" r:id="rId4"/>
  </sheets>
  <definedNames>
    <definedName name="_xlnm.Print_Area" localSheetId="2">'AGGIUDICAZIONE'!$B$1:$G$48</definedName>
    <definedName name="_xlnm.Print_Area" localSheetId="1">'var 2,2018'!$A$2:$F$44</definedName>
    <definedName name="_xlnm.Print_Area" localSheetId="0">'var n.1'!$A$2:$Q$90</definedName>
    <definedName name="Excel_BuiltIn_Print_Area" localSheetId="2">'AGGIUDICAZIONE'!$B$6:$D$48</definedName>
    <definedName name="Excel_BuiltIn_Print_Area" localSheetId="1">'var 2,2018'!$A$4:$A$43</definedName>
    <definedName name="Excel_BuiltIn_Print_Area" localSheetId="0">'var n.1'!$A$4:$A$90</definedName>
  </definedNames>
  <calcPr fullCalcOnLoad="1"/>
</workbook>
</file>

<file path=xl/sharedStrings.xml><?xml version="1.0" encoding="utf-8"?>
<sst xmlns="http://schemas.openxmlformats.org/spreadsheetml/2006/main" count="299" uniqueCount="174">
  <si>
    <t>QUADRO TECNICO ECONOMICO DI SPESA</t>
  </si>
  <si>
    <t xml:space="preserve">CONTRATTO </t>
  </si>
  <si>
    <t>ALTRE MODIFICHE AL CONTRATTO</t>
  </si>
  <si>
    <t xml:space="preserve">VARIAZIONI </t>
  </si>
  <si>
    <t xml:space="preserve">Esigibilità </t>
  </si>
  <si>
    <t xml:space="preserve">A)  IMPORTO LAVORI </t>
  </si>
  <si>
    <t>CONTRATTO ORIGINARIO STRALCIO 1</t>
  </si>
  <si>
    <t>ESTENSIONE CONTRATTO EX ART 3 STRALCIO 2</t>
  </si>
  <si>
    <t>NUOVI IMPORTI</t>
  </si>
  <si>
    <t>variazioni</t>
  </si>
  <si>
    <t>Esigibilità 2018</t>
  </si>
  <si>
    <t>Esigibilità 2019</t>
  </si>
  <si>
    <t>Esigibilità 2020</t>
  </si>
  <si>
    <t>Importi contrattuali originari</t>
  </si>
  <si>
    <t>+ estensione contratto</t>
  </si>
  <si>
    <t>Art. 106 Comma 1 lett. b) D. Lgs 50/2016 + lavori supplementari</t>
  </si>
  <si>
    <t>Art. 106 Comma 2 D. Lgs. 50/2016+ Modifiche &lt;15%</t>
  </si>
  <si>
    <t>Art. 106 Comma 1 lett. c) D. Lgs. 50/2016 + imprevisti</t>
  </si>
  <si>
    <t>VARIANTE 4                Nuovo importi contattuali per lavori complementari – prolungamento sottopasso ciclopedonale molin nuovo</t>
  </si>
  <si>
    <t>Variazioni ripetto a quanto già previsto in fase di gara</t>
  </si>
  <si>
    <t>variazioni totali rispetto al contratto attuale</t>
  </si>
  <si>
    <t>CONTABILITA'</t>
  </si>
  <si>
    <t>A1.1.1) LAVORI A MISURA STRALCIO  1</t>
  </si>
  <si>
    <t>A1.2) LAVORI A CORPO STRALCIO 1</t>
  </si>
  <si>
    <t>A1.3 )  LAVORI A CORPO - ESTENSIONE CONTRATTO – STRALCIO 2 – art.106 comma 1 lett.a)</t>
  </si>
  <si>
    <t>A1.4) LAVORI SUPPLEMENTARI – art. 106 comma 1 lett. b)</t>
  </si>
  <si>
    <t>MIS</t>
  </si>
  <si>
    <t>CORPO</t>
  </si>
  <si>
    <t>TOTALE LAVORI</t>
  </si>
  <si>
    <t>SIC</t>
  </si>
  <si>
    <t>TOTALE APPALTO</t>
  </si>
  <si>
    <t>A1.4.1) LAVORI A CORPO  COMPLETAMENTO FOSSI DI GUARDIA – art.106 comma 1 lett.b)</t>
  </si>
  <si>
    <t>STRALCIO 1</t>
  </si>
  <si>
    <t>A1.4.2) LAVORI A CORPO  COMPLETAMENTO CIGLI /SCARPATE – art.106 comma 1 lett.b)</t>
  </si>
  <si>
    <t>STRALCIO 2</t>
  </si>
  <si>
    <t>A1.4.3) LAVORI A CORPO COMPLETAMENTO SMALTIMENTO ACQUE VS 17 – art.106 comma 1 lett.b)</t>
  </si>
  <si>
    <t>COMMA 1 LETT. B</t>
  </si>
  <si>
    <t>A1.4.4.) LAVORI A CORPO  COMPLETAMENTO TESTA DEL RILEVATO VS 17 CON STABILIZZAZIONE– art.106 comma 1 lett.b)</t>
  </si>
  <si>
    <t>COMMA 2</t>
  </si>
  <si>
    <t>A1.4.5) LAVORI A CORPO COMPLETAMENTO TERRE ARMATE CON CORDOLO SOMMITALE – art.106 comma 1 lett.b)</t>
  </si>
  <si>
    <t>A1.4.6) LAVORI A CORPO PROPEDEUTICI ALLE ATTTIVITA’  DI  COLLAUDO DEL CAVALCAFERROVIA OPERE IN C.A.– art.106 comma 1 lett.b)</t>
  </si>
  <si>
    <t>A1.4.7) LAVORI A MISURA -  RISANAMENTO RILEVATO ESISTENTE- 573-588 -– art.106 comma 1 lett.b)</t>
  </si>
  <si>
    <t>A1.4.8) LAVORI A CORPO  -  RIALZAMENTO  RILEVATO TRA SEZ 588-631 -– art.106 comma 1 lett.b)</t>
  </si>
  <si>
    <t>A1.5) LAVORI MIGLIORIATIVI – art. 106 comma 2</t>
  </si>
  <si>
    <t>A1.5.1) LAVORI A CORPO   -  AMPLIAMENTO RILEVATO-– art.106 comma 2</t>
  </si>
  <si>
    <t>A1.5.2 ) LAVORI A CORPO  -  MIGLIORIE IN CORSO DI ESECUZIONE --– art.106 comma 2</t>
  </si>
  <si>
    <t>A1.6) LAVORI IMPREVISTI ED IMPREVEDIBILI- LAVORI A CORPO -  Ripristino funzionalità  Sp108 e ponte di Granaiolo  – art. 106 comma 1 lett. c)</t>
  </si>
  <si>
    <t>A1.7) LAVORI A CORPO - completamento sottopasso ciclopedonale (QTE BANDINELLLI)</t>
  </si>
  <si>
    <t>A2) COSTI PER L’ATTUAZIONE DEI PIANI DELLA SICUREZZA (SPECIALI) NON SOGGETTI A RIBASSO</t>
  </si>
  <si>
    <t>sommano</t>
  </si>
  <si>
    <t>DI CUI COSTI PER L’ATTUAZIONE DEI PIANI DELLA SICUREZZA (SPECIALI) NON SOGGETTI A RIBASSO</t>
  </si>
  <si>
    <t>DI CUI COSTI DELLA SICUREZZA (DIRETTI) COMPRESI NEI PREZZI DI STIMA (SOGGETTI A RIBASSO</t>
  </si>
  <si>
    <t>DI CUI COSTI PER LA MANODOPERA (SOGGETTI A RIBASSO)</t>
  </si>
  <si>
    <t>IMPORTO DEI LAVORI SOGGETTI A RIBASSO D'ASTA</t>
  </si>
  <si>
    <t>RIBASSO  GARA DEL 33,932382% (applicazione prezzi unitari di contratto per estensione contratto e verbale di concordamento nuovi prezzi con applicazione ribasso su prezziario ufficiale)</t>
  </si>
  <si>
    <t>IMPORTO CONTRATTUALE AL NETTO DEL RIBASSO D'ASTA COMPRESI GLI ONERI DELLA SICUREZZA</t>
  </si>
  <si>
    <t>NUOVI LAVORI (PROGRESSIVO)</t>
  </si>
  <si>
    <t>Di cui a valere su SR429</t>
  </si>
  <si>
    <t>cap 19347 imp 2216/18+96/19+…….</t>
  </si>
  <si>
    <t>Di cui a valere su ponte</t>
  </si>
  <si>
    <t>Cap 19680  – da sub impegnare con successivo atto</t>
  </si>
  <si>
    <t>importo per sicurezza in variazione</t>
  </si>
  <si>
    <t>importo lavori in variazione</t>
  </si>
  <si>
    <t xml:space="preserve">VARIAZIONE </t>
  </si>
  <si>
    <t>PERCENTUALE DELLA VARIAZIONE RISPETTO AL CONTRATTO INTEGRATO CON PREVISIONI EX ART 3 DEL CONTRATTO</t>
  </si>
  <si>
    <t>previsto nel contratto</t>
  </si>
  <si>
    <t>PERCENTUALE DELLA VARIAZIONE COMPLESSIVA DELL'IMPORTO DEI LAVORI</t>
  </si>
  <si>
    <t>B) SOMME A DISPOSIZIONE DELL'AMMINISTRAZIONE</t>
  </si>
  <si>
    <t xml:space="preserve">B1.1) Lavori di completamento del lotto V da progr. Km 30+220 a progr. Km 31+500 da affidare ex art. 106 c. 1 lettera a) D.Lgs 50/2016 </t>
  </si>
  <si>
    <t>B1.2) Lavori di cui al verbale di conciliazione – Controversia Tribunale di Firenze R.G. 12445/14 -Arch.  Fabrizio Ghelli di Luserna di Rora – DET 1/2018</t>
  </si>
  <si>
    <t>B1.3) Lavori di sistemazione paesaggistica e ambientale esclusi dall’appalto</t>
  </si>
  <si>
    <t>Cap  19347- da sub impegnare  con successivo atto</t>
  </si>
  <si>
    <t xml:space="preserve">B1.4) Lavori di sistemazione idraulica – cassa espansione Rio di Grignana </t>
  </si>
  <si>
    <t>B1.5) Lavori di sistemazione idraulica – Rio Broccolino</t>
  </si>
  <si>
    <t>b2) Rilievi accertamenti ed indagini</t>
  </si>
  <si>
    <t>b2.1) Rilievi accertamenti ed indagini -SP108 Ponte di Granaiolo</t>
  </si>
  <si>
    <t xml:space="preserve">b3) Allacciamenti ai pubblici servizi e spostamento sottoservizi </t>
  </si>
  <si>
    <t>b3.1) Allacciamenti ai pubblici servizi e spostamento sottoservizi – SP108 ponte di granaiolo</t>
  </si>
  <si>
    <t>b4) Imprevisti 5% su lavori e lavori di completamento ex art.106 e arr.</t>
  </si>
  <si>
    <t>b5) Imprevisti ponte granaiolo sp108</t>
  </si>
  <si>
    <t>b5) Acquisizione aree o immobili, Indennità per aree allagabili della cassa espansione sul Rio Grignana</t>
  </si>
  <si>
    <t>B5.1) Acquisizione aree per ampliamento rilevato cavalcaferrovia CS11</t>
  </si>
  <si>
    <t>B5.2) Aquisizione aree per collegamento VS15 VS16</t>
  </si>
  <si>
    <t xml:space="preserve">B5.3) Aquisizione aree per adeguamento SP108 </t>
  </si>
  <si>
    <t>B5.4) Spese per frazionamenti e atti notarili SR429</t>
  </si>
  <si>
    <t>B5.5) spese per frazionamenti e atti notarili SP108</t>
  </si>
  <si>
    <t>B6.1) Accantonamento per adeguamento prezzi 2% su lavori e lavori di completamento ex art.106</t>
  </si>
  <si>
    <t>B6.2) Accantonamento per accordi bonari 3% su lavori e lavori di completamento ex art.106</t>
  </si>
  <si>
    <r>
      <t xml:space="preserve">B6.3) </t>
    </r>
    <r>
      <rPr>
        <i/>
        <sz val="10"/>
        <color indexed="8"/>
        <rFont val="Calibri;Calibri"/>
        <family val="2"/>
      </rPr>
      <t xml:space="preserve">spese per indennizzo transazione proprietà Ghelli – </t>
    </r>
    <r>
      <rPr>
        <b/>
        <i/>
        <sz val="10"/>
        <color indexed="8"/>
        <rFont val="Calibri;Calibri"/>
        <family val="2"/>
      </rPr>
      <t>DET 1 /2018 . Atto liquidazione 1087/2018</t>
    </r>
  </si>
  <si>
    <t>cap 19347 imp 730/18</t>
  </si>
  <si>
    <t>C7.1) Spese tecniche e spese di cui agli artt. 90 c.5, 92 c.7bis e 93 c.7bis</t>
  </si>
  <si>
    <t>C7.1.1) iNCENTIVO QUOTA PARTE SR429</t>
  </si>
  <si>
    <r>
      <t xml:space="preserve">C7.2)Progettazione sottopasso ciclopedonale in loc. Molin Nuovo alla variante alla SR429 e alla linea Ferroviaria Empoli Chiusi- iva e cnpia inclusa – </t>
    </r>
    <r>
      <rPr>
        <b/>
        <i/>
        <sz val="10"/>
        <rFont val="Calibri"/>
        <family val="2"/>
      </rPr>
      <t>DET 12/2018</t>
    </r>
  </si>
  <si>
    <t>cap 19347 imp 1561/18</t>
  </si>
  <si>
    <r>
      <t xml:space="preserve">C7.3) Tutor di cantiere – DITTA CTQ  ing. Luciano SCARTEDDU – iva e cnpia inclusa – agg. </t>
    </r>
    <r>
      <rPr>
        <b/>
        <i/>
        <sz val="10"/>
        <rFont val="Calibri"/>
        <family val="2"/>
      </rPr>
      <t>DET 18/2018</t>
    </r>
  </si>
  <si>
    <t>cap 19347 imp 2117/18</t>
  </si>
  <si>
    <t>C7.3.1) tutor variante sr429</t>
  </si>
  <si>
    <t>C7.3.2) tutor sp108</t>
  </si>
  <si>
    <r>
      <t xml:space="preserve">C7.4) Direttore operativo – ing. Andrea FONTANI – iva e cnpia inclusa – agg. </t>
    </r>
    <r>
      <rPr>
        <b/>
        <i/>
        <sz val="10"/>
        <rFont val="Calibri"/>
        <family val="2"/>
      </rPr>
      <t>DET 20/2018</t>
    </r>
  </si>
  <si>
    <t>cap 19347 imp 2135/18</t>
  </si>
  <si>
    <r>
      <t xml:space="preserve">C7.4.1) DO variante sr429 – </t>
    </r>
    <r>
      <rPr>
        <i/>
        <sz val="10"/>
        <color indexed="8"/>
        <rFont val="Calibri"/>
        <family val="2"/>
      </rPr>
      <t>– ing. Andrea FONTANI</t>
    </r>
  </si>
  <si>
    <r>
      <t>C7.4.2) DO variante sp108 -</t>
    </r>
    <r>
      <rPr>
        <i/>
        <sz val="10"/>
        <color indexed="8"/>
        <rFont val="Calibri"/>
        <family val="2"/>
      </rPr>
      <t>– ing. Andrea FONTAN</t>
    </r>
  </si>
  <si>
    <r>
      <t xml:space="preserve">C7.5) Direttore operativo – arch. Marco BELLUCCI – iva e cnpia inclusa – agg. </t>
    </r>
    <r>
      <rPr>
        <b/>
        <i/>
        <sz val="10"/>
        <rFont val="Calibri"/>
        <family val="2"/>
      </rPr>
      <t>DET 19/2018</t>
    </r>
  </si>
  <si>
    <t xml:space="preserve">cap 19347 imp 2133/18 </t>
  </si>
  <si>
    <r>
      <t>C7.5.1) DO variante sr429</t>
    </r>
    <r>
      <rPr>
        <i/>
        <sz val="10"/>
        <color indexed="8"/>
        <rFont val="Calibri"/>
        <family val="2"/>
      </rPr>
      <t xml:space="preserve"> – arch. Marco BELLUCCI </t>
    </r>
  </si>
  <si>
    <r>
      <t>C7.5.2) DO variante sp108</t>
    </r>
    <r>
      <rPr>
        <i/>
        <sz val="10"/>
        <color indexed="8"/>
        <rFont val="Calibri"/>
        <family val="2"/>
      </rPr>
      <t xml:space="preserve"> – arch. Marco BELLUCCI </t>
    </r>
  </si>
  <si>
    <r>
      <t xml:space="preserve">C7.6) Coordiatore sicurezza in fase esecuzione  - ing. Enrico Galigani – agg. </t>
    </r>
    <r>
      <rPr>
        <b/>
        <i/>
        <sz val="10"/>
        <rFont val="Calibri"/>
        <family val="2"/>
      </rPr>
      <t>DT29/2018</t>
    </r>
  </si>
  <si>
    <t>CAP 19347 imp 168/2018</t>
  </si>
  <si>
    <r>
      <t>C7.6.1) CSE variante sr429</t>
    </r>
    <r>
      <rPr>
        <i/>
        <sz val="10"/>
        <color indexed="8"/>
        <rFont val="Calibri"/>
        <family val="2"/>
      </rPr>
      <t xml:space="preserve">  - ing. Enrico Galigani</t>
    </r>
  </si>
  <si>
    <r>
      <t>C7.6.2) CSE  variante sp108</t>
    </r>
    <r>
      <rPr>
        <i/>
        <sz val="10"/>
        <color indexed="8"/>
        <rFont val="Calibri"/>
        <family val="2"/>
      </rPr>
      <t xml:space="preserve">  - ing. Enrico Galigani</t>
    </r>
  </si>
  <si>
    <r>
      <t xml:space="preserve">C7.8) Progettazione strutturale Ponte di Granaiolo – ing. Alessandro Vannoni – estensione   </t>
    </r>
    <r>
      <rPr>
        <b/>
        <i/>
        <sz val="10"/>
        <rFont val="Calibri"/>
        <family val="2"/>
      </rPr>
      <t>DT 36/2017</t>
    </r>
  </si>
  <si>
    <r>
      <t>C7.9)Indagini geologiche – dott. Daniele Panzani – agg.</t>
    </r>
    <r>
      <rPr>
        <b/>
        <i/>
        <sz val="10"/>
        <rFont val="Calibri"/>
        <family val="2"/>
      </rPr>
      <t xml:space="preserve"> DT 38/2017 e DT3/2016</t>
    </r>
  </si>
  <si>
    <r>
      <t xml:space="preserve">C7.10) Indagini idrauliche – ing. Gesualdo Bavecchi – agg. </t>
    </r>
    <r>
      <rPr>
        <b/>
        <i/>
        <sz val="10"/>
        <rFont val="Calibri"/>
        <family val="2"/>
      </rPr>
      <t>DT 31/2017</t>
    </r>
  </si>
  <si>
    <t>C7.11) Altre spese tecniche Ponte di Granaiolo</t>
  </si>
  <si>
    <t>C7.12) Incentivo direzione lavori -PONTE</t>
  </si>
  <si>
    <t xml:space="preserve">C7.12) Spese tecnico amministrative connesse alla progettazione, supporto al RUP, verifiche e validazione </t>
  </si>
  <si>
    <t xml:space="preserve">C8.2) Assicurazione progettista  ing. Laura Cenni </t>
  </si>
  <si>
    <t>c9) Spese per commissioni giudicatrici</t>
  </si>
  <si>
    <t>c10) Spese per pubblicità, ANAC e opere artistiche</t>
  </si>
  <si>
    <t>pubblicazione avvisi aggiudicazione RCS eSoc. Editoriale DT 1375/18</t>
  </si>
  <si>
    <t>cap 19347 imp 2953e2954/18</t>
  </si>
  <si>
    <t xml:space="preserve">c11) Spese per accertamenti laboratorio e verifiche tecniche di capitolato, collaudo tecnico-amministrativo ed eventuali collaudi specialistici </t>
  </si>
  <si>
    <t>C12) IVA lavori SR429</t>
  </si>
  <si>
    <t>C12) IVA lavori  PONTE SP 108</t>
  </si>
  <si>
    <t>C) - RIEPILOGO A) + B)</t>
  </si>
  <si>
    <t>CALCOLO IMPORTO CONTRATTUALE compreso IVA</t>
  </si>
  <si>
    <t>1/5 obbligo</t>
  </si>
  <si>
    <t>META' IMPORTO CONTRATTUALE</t>
  </si>
  <si>
    <t>lavori complementari</t>
  </si>
  <si>
    <t>imprevisti</t>
  </si>
  <si>
    <t>TOTALE ALTRI LAVORI</t>
  </si>
  <si>
    <t>FINANZIAMENTO</t>
  </si>
  <si>
    <t>DRT 14366/2016</t>
  </si>
  <si>
    <t xml:space="preserve">ARTEA </t>
  </si>
  <si>
    <t>RT</t>
  </si>
  <si>
    <t>Già PAGATO</t>
  </si>
  <si>
    <t>ESSETI</t>
  </si>
  <si>
    <t>GHELLI</t>
  </si>
  <si>
    <t>FONTANI</t>
  </si>
  <si>
    <t>DA PAGARE</t>
  </si>
  <si>
    <t>SCARTEDDU</t>
  </si>
  <si>
    <t>BANDINELLI</t>
  </si>
  <si>
    <t>BELLUCCI</t>
  </si>
  <si>
    <t>ESTRATTI QUOTAIDIANI</t>
  </si>
  <si>
    <t>GALIGANI</t>
  </si>
  <si>
    <t>GIA' IMPEGNATO AD OGGI</t>
  </si>
  <si>
    <t>INCASSO 2018</t>
  </si>
  <si>
    <t>ANTICIPO 2018</t>
  </si>
  <si>
    <t>ponte granaiolo</t>
  </si>
  <si>
    <t>Nuovi importi</t>
  </si>
  <si>
    <t>A1.1) LAVORI A MISURA</t>
  </si>
  <si>
    <t>A1.2) LAVORI A CORPO</t>
  </si>
  <si>
    <t>ribasso  33,932382%</t>
  </si>
  <si>
    <t>importo contrattuale al netto del ribasso d'asta e compresi gli oneri della sicurezza</t>
  </si>
  <si>
    <t>cap 19347 imp 2216/18+96/19</t>
  </si>
  <si>
    <r>
      <t xml:space="preserve">C7.3) Tutor di cantiere – DITTA CTQ  ing. Luciano SCARTEDDU – iva e cnpia inclusa – </t>
    </r>
    <r>
      <rPr>
        <b/>
        <i/>
        <sz val="10"/>
        <rFont val="Calibri"/>
        <family val="2"/>
      </rPr>
      <t>DET 18/2018</t>
    </r>
  </si>
  <si>
    <r>
      <t xml:space="preserve">C7.4) Direttore operativo – ing. Andrea FONTANI – iva e cnpia inclusa – </t>
    </r>
    <r>
      <rPr>
        <b/>
        <i/>
        <sz val="10"/>
        <rFont val="Calibri"/>
        <family val="2"/>
      </rPr>
      <t>DET 20/2018</t>
    </r>
  </si>
  <si>
    <r>
      <t xml:space="preserve">C7.5) Direttore operativo – arch. Marco BELLUCCI – iva e cnpia inclusa – </t>
    </r>
    <r>
      <rPr>
        <b/>
        <i/>
        <sz val="10"/>
        <rFont val="Calibri"/>
        <family val="2"/>
      </rPr>
      <t>DET 19/2018</t>
    </r>
  </si>
  <si>
    <t>cap 19347 imp 2133/18</t>
  </si>
  <si>
    <t>C7.6) Coordiatore sicurezza in fase esecuzione DT29/2018 Galigani</t>
  </si>
  <si>
    <t>CAP 19347 imp 3092/18+168/19</t>
  </si>
  <si>
    <t xml:space="preserve">C8.1) Spese tecnico amministrative connesse alla progettazione, supporto al RUP, verifiche e validazione </t>
  </si>
  <si>
    <t>C12) IVA lavori</t>
  </si>
  <si>
    <r>
      <t xml:space="preserve">FASE 2 - </t>
    </r>
    <r>
      <rPr>
        <b/>
        <sz val="11"/>
        <rFont val="Arial"/>
        <family val="2"/>
      </rPr>
      <t>LOTTO V - LAVORI DI COMPLETAMENTO DA PROGR. Km 24+580 A PROGR. Km 30+220</t>
    </r>
  </si>
  <si>
    <t>Decreto n.22 del 26/07/2017</t>
  </si>
  <si>
    <t>variazione</t>
  </si>
  <si>
    <t>Aggiudicazione</t>
  </si>
  <si>
    <t>ribasso</t>
  </si>
  <si>
    <t>importo dei lavori al netto del ribasso d'asso</t>
  </si>
  <si>
    <t xml:space="preserve"> COSTI PER L’ATTUAZIONE DEI PIANI DELLA SICUREZZA (SPECIALI) NON SOGGETTI A RIBASSO</t>
  </si>
  <si>
    <t>B1.1) Lavori di completamento del lotto V da progr. Km 30+220 a progr. Km 31+500 da affidare ex art. 106 c. 1 lettera a) D.Lgs 50/2016 – iva esclusa</t>
  </si>
  <si>
    <t>c12) per IVA sui lavori ed eventuali altre imposte e contributi dovuti per legge (iva 22% su  lavori, b1,b2,c7,c8,c11)</t>
  </si>
  <si>
    <t>per 712715,81 si impèegna con il presente atto</t>
  </si>
  <si>
    <t>Nuovo sub - impegno Cap 19347/2019 presente determina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</si>
</sst>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\ ;\-* #,##0\ ;* &quot;- &quot;;@\ "/>
    <numFmt numFmtId="165" formatCode="&quot; € &quot;* #,##0.00\ ;&quot;-€ &quot;* #,##0.00\ ;&quot; € &quot;* \-#\ ;@\ "/>
    <numFmt numFmtId="166" formatCode="_-* #,##0.00\ _€_-;\-* #,##0.00\ _€_-;_-* \-??\ _€_-;_-@_-"/>
    <numFmt numFmtId="167" formatCode="0.000000000%"/>
    <numFmt numFmtId="168" formatCode="_-* #,##0.00_-;\-* #,##0.00_-;_-* \-??_-;_-@_-"/>
    <numFmt numFmtId="169" formatCode="[$L.-410]\ * #,##0\ ;\-[$L.-410]\ * #,##0\ ;[$L.-410]\ * &quot;- &quot;;@\ "/>
    <numFmt numFmtId="170" formatCode="_-* #,##0.000000000_-;\-* #,##0.000000000_-;_-* \-???????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Times New Roman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i/>
      <sz val="10"/>
      <color indexed="8"/>
      <name val="Calibri;Calibri"/>
      <family val="2"/>
    </font>
    <font>
      <b/>
      <i/>
      <sz val="10"/>
      <color indexed="8"/>
      <name val="Calibri;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10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8" applyFont="1" applyAlignment="1">
      <alignment vertical="center" wrapText="1"/>
      <protection/>
    </xf>
    <xf numFmtId="0" fontId="1" fillId="0" borderId="0" xfId="18" applyAlignment="1">
      <alignment vertical="center"/>
      <protection/>
    </xf>
    <xf numFmtId="0" fontId="1" fillId="0" borderId="0" xfId="18" applyFill="1" applyAlignment="1">
      <alignment vertical="center"/>
      <protection/>
    </xf>
    <xf numFmtId="0" fontId="1" fillId="0" borderId="0" xfId="18" applyAlignment="1">
      <alignment horizontal="center" vertical="center"/>
      <protection/>
    </xf>
    <xf numFmtId="0" fontId="0" fillId="0" borderId="0" xfId="18" applyFont="1" applyBorder="1" applyAlignment="1">
      <alignment vertical="center" wrapText="1"/>
      <protection/>
    </xf>
    <xf numFmtId="0" fontId="2" fillId="2" borderId="1" xfId="18" applyFont="1" applyFill="1" applyBorder="1" applyAlignment="1">
      <alignment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3" borderId="1" xfId="18" applyFont="1" applyFill="1" applyBorder="1" applyAlignment="1">
      <alignment horizontal="center" vertical="center" wrapText="1"/>
      <protection/>
    </xf>
    <xf numFmtId="0" fontId="3" fillId="4" borderId="1" xfId="18" applyFont="1" applyFill="1" applyBorder="1" applyAlignment="1">
      <alignment horizontal="center" vertical="center" wrapText="1"/>
      <protection/>
    </xf>
    <xf numFmtId="0" fontId="3" fillId="5" borderId="1" xfId="18" applyFont="1" applyFill="1" applyBorder="1" applyAlignment="1">
      <alignment horizontal="center" vertical="center" wrapText="1"/>
      <protection/>
    </xf>
    <xf numFmtId="0" fontId="3" fillId="6" borderId="1" xfId="18" applyFont="1" applyFill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vertical="center"/>
      <protection/>
    </xf>
    <xf numFmtId="0" fontId="4" fillId="0" borderId="1" xfId="18" applyFont="1" applyBorder="1" applyAlignment="1">
      <alignment vertical="center"/>
      <protection/>
    </xf>
    <xf numFmtId="0" fontId="5" fillId="3" borderId="1" xfId="18" applyFont="1" applyFill="1" applyBorder="1" applyAlignment="1">
      <alignment vertical="center" wrapText="1"/>
      <protection/>
    </xf>
    <xf numFmtId="165" fontId="6" fillId="3" borderId="1" xfId="17" applyNumberFormat="1" applyFont="1" applyFill="1" applyBorder="1" applyAlignment="1" applyProtection="1">
      <alignment vertical="center"/>
      <protection/>
    </xf>
    <xf numFmtId="165" fontId="6" fillId="4" borderId="1" xfId="17" applyNumberFormat="1" applyFont="1" applyFill="1" applyBorder="1" applyAlignment="1" applyProtection="1">
      <alignment vertical="center"/>
      <protection/>
    </xf>
    <xf numFmtId="165" fontId="6" fillId="5" borderId="1" xfId="17" applyNumberFormat="1" applyFont="1" applyFill="1" applyBorder="1" applyAlignment="1" applyProtection="1">
      <alignment vertical="center"/>
      <protection/>
    </xf>
    <xf numFmtId="165" fontId="5" fillId="7" borderId="1" xfId="17" applyNumberFormat="1" applyFont="1" applyFill="1" applyBorder="1" applyAlignment="1" applyProtection="1">
      <alignment vertical="center"/>
      <protection/>
    </xf>
    <xf numFmtId="165" fontId="5" fillId="0" borderId="1" xfId="17" applyNumberFormat="1" applyFont="1" applyFill="1" applyBorder="1" applyAlignment="1" applyProtection="1">
      <alignment vertical="center"/>
      <protection/>
    </xf>
    <xf numFmtId="165" fontId="5" fillId="0" borderId="1" xfId="17" applyNumberFormat="1" applyFont="1" applyFill="1" applyBorder="1" applyAlignment="1" applyProtection="1">
      <alignment vertical="center"/>
      <protection/>
    </xf>
    <xf numFmtId="165" fontId="6" fillId="0" borderId="1" xfId="17" applyNumberFormat="1" applyFont="1" applyFill="1" applyBorder="1" applyAlignment="1" applyProtection="1">
      <alignment vertical="center"/>
      <protection/>
    </xf>
    <xf numFmtId="0" fontId="1" fillId="0" borderId="1" xfId="18" applyBorder="1" applyAlignment="1">
      <alignment vertical="center"/>
      <protection/>
    </xf>
    <xf numFmtId="0" fontId="7" fillId="3" borderId="1" xfId="18" applyFont="1" applyFill="1" applyBorder="1" applyAlignment="1">
      <alignment vertical="center" wrapText="1"/>
      <protection/>
    </xf>
    <xf numFmtId="0" fontId="6" fillId="3" borderId="1" xfId="18" applyFont="1" applyFill="1" applyBorder="1" applyAlignment="1">
      <alignment vertical="center" wrapText="1"/>
      <protection/>
    </xf>
    <xf numFmtId="0" fontId="8" fillId="0" borderId="1" xfId="18" applyFont="1" applyFill="1" applyBorder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8" fillId="0" borderId="0" xfId="18" applyFont="1" applyFill="1" applyAlignment="1">
      <alignment horizontal="center" vertical="center"/>
      <protection/>
    </xf>
    <xf numFmtId="165" fontId="7" fillId="8" borderId="1" xfId="17" applyNumberFormat="1" applyFont="1" applyFill="1" applyBorder="1" applyAlignment="1" applyProtection="1">
      <alignment vertical="center"/>
      <protection/>
    </xf>
    <xf numFmtId="165" fontId="6" fillId="8" borderId="1" xfId="17" applyNumberFormat="1" applyFont="1" applyFill="1" applyBorder="1" applyAlignment="1" applyProtection="1">
      <alignment vertical="center"/>
      <protection/>
    </xf>
    <xf numFmtId="0" fontId="7" fillId="8" borderId="1" xfId="18" applyFont="1" applyFill="1" applyBorder="1" applyAlignment="1">
      <alignment vertical="center" wrapText="1"/>
      <protection/>
    </xf>
    <xf numFmtId="165" fontId="5" fillId="6" borderId="1" xfId="17" applyNumberFormat="1" applyFont="1" applyFill="1" applyBorder="1" applyAlignment="1" applyProtection="1">
      <alignment vertical="center"/>
      <protection/>
    </xf>
    <xf numFmtId="0" fontId="9" fillId="8" borderId="1" xfId="15" applyFont="1" applyFill="1" applyBorder="1" applyAlignment="1">
      <alignment vertical="center" wrapText="1"/>
      <protection/>
    </xf>
    <xf numFmtId="165" fontId="10" fillId="4" borderId="1" xfId="17" applyNumberFormat="1" applyFont="1" applyFill="1" applyBorder="1" applyAlignment="1" applyProtection="1">
      <alignment vertical="center"/>
      <protection/>
    </xf>
    <xf numFmtId="0" fontId="9" fillId="5" borderId="1" xfId="15" applyFont="1" applyFill="1" applyBorder="1" applyAlignment="1">
      <alignment vertical="center" wrapText="1"/>
      <protection/>
    </xf>
    <xf numFmtId="165" fontId="5" fillId="5" borderId="1" xfId="17" applyNumberFormat="1" applyFont="1" applyFill="1" applyBorder="1" applyAlignment="1" applyProtection="1">
      <alignment vertical="center"/>
      <protection/>
    </xf>
    <xf numFmtId="166" fontId="8" fillId="0" borderId="1" xfId="18" applyNumberFormat="1" applyFont="1" applyFill="1" applyBorder="1" applyAlignment="1">
      <alignment vertical="center"/>
      <protection/>
    </xf>
    <xf numFmtId="0" fontId="0" fillId="5" borderId="0" xfId="0" applyFont="1" applyFill="1" applyAlignment="1">
      <alignment vertical="center"/>
    </xf>
    <xf numFmtId="0" fontId="7" fillId="5" borderId="1" xfId="18" applyFont="1" applyFill="1" applyBorder="1" applyAlignment="1">
      <alignment vertical="center" wrapText="1"/>
      <protection/>
    </xf>
    <xf numFmtId="0" fontId="7" fillId="6" borderId="1" xfId="18" applyFont="1" applyFill="1" applyBorder="1" applyAlignment="1">
      <alignment vertical="center" wrapText="1"/>
      <protection/>
    </xf>
    <xf numFmtId="165" fontId="6" fillId="6" borderId="1" xfId="17" applyNumberFormat="1" applyFont="1" applyFill="1" applyBorder="1" applyAlignment="1" applyProtection="1">
      <alignment vertical="center"/>
      <protection/>
    </xf>
    <xf numFmtId="165" fontId="5" fillId="6" borderId="1" xfId="17" applyNumberFormat="1" applyFont="1" applyFill="1" applyBorder="1" applyAlignment="1" applyProtection="1">
      <alignment vertical="center"/>
      <protection/>
    </xf>
    <xf numFmtId="166" fontId="11" fillId="0" borderId="1" xfId="18" applyNumberFormat="1" applyFont="1" applyBorder="1" applyAlignment="1">
      <alignment vertical="center"/>
      <protection/>
    </xf>
    <xf numFmtId="0" fontId="5" fillId="0" borderId="1" xfId="18" applyFont="1" applyBorder="1" applyAlignment="1">
      <alignment vertical="center" wrapText="1"/>
      <protection/>
    </xf>
    <xf numFmtId="165" fontId="6" fillId="0" borderId="1" xfId="17" applyNumberFormat="1" applyFont="1" applyFill="1" applyBorder="1" applyAlignment="1" applyProtection="1">
      <alignment vertical="center"/>
      <protection/>
    </xf>
    <xf numFmtId="165" fontId="5" fillId="9" borderId="1" xfId="17" applyNumberFormat="1" applyFont="1" applyFill="1" applyBorder="1" applyAlignment="1" applyProtection="1">
      <alignment vertical="center"/>
      <protection/>
    </xf>
    <xf numFmtId="165" fontId="12" fillId="0" borderId="1" xfId="17" applyNumberFormat="1" applyFont="1" applyFill="1" applyBorder="1" applyAlignment="1" applyProtection="1">
      <alignment vertical="center"/>
      <protection/>
    </xf>
    <xf numFmtId="165" fontId="13" fillId="6" borderId="1" xfId="17" applyNumberFormat="1" applyFont="1" applyFill="1" applyBorder="1" applyAlignment="1" applyProtection="1">
      <alignment vertical="center"/>
      <protection/>
    </xf>
    <xf numFmtId="165" fontId="13" fillId="0" borderId="1" xfId="17" applyNumberFormat="1" applyFont="1" applyFill="1" applyBorder="1" applyAlignment="1" applyProtection="1">
      <alignment vertical="center"/>
      <protection/>
    </xf>
    <xf numFmtId="165" fontId="1" fillId="0" borderId="1" xfId="18" applyNumberFormat="1" applyBorder="1" applyAlignment="1">
      <alignment vertical="center"/>
      <protection/>
    </xf>
    <xf numFmtId="0" fontId="5" fillId="0" borderId="2" xfId="18" applyFont="1" applyBorder="1" applyAlignment="1">
      <alignment vertical="center" wrapText="1"/>
      <protection/>
    </xf>
    <xf numFmtId="165" fontId="0" fillId="0" borderId="1" xfId="18" applyNumberFormat="1" applyFont="1" applyBorder="1" applyAlignment="1">
      <alignment vertical="center"/>
      <protection/>
    </xf>
    <xf numFmtId="0" fontId="0" fillId="0" borderId="1" xfId="18" applyFont="1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 applyAlignment="1">
      <alignment horizontal="center" vertical="center"/>
      <protection/>
    </xf>
    <xf numFmtId="165" fontId="6" fillId="10" borderId="1" xfId="17" applyNumberFormat="1" applyFont="1" applyFill="1" applyBorder="1" applyAlignment="1" applyProtection="1">
      <alignment vertical="center"/>
      <protection/>
    </xf>
    <xf numFmtId="165" fontId="5" fillId="10" borderId="1" xfId="17" applyNumberFormat="1" applyFont="1" applyFill="1" applyBorder="1" applyAlignment="1" applyProtection="1">
      <alignment vertical="center"/>
      <protection/>
    </xf>
    <xf numFmtId="165" fontId="12" fillId="10" borderId="1" xfId="17" applyNumberFormat="1" applyFont="1" applyFill="1" applyBorder="1" applyAlignment="1" applyProtection="1">
      <alignment vertical="center"/>
      <protection/>
    </xf>
    <xf numFmtId="0" fontId="5" fillId="0" borderId="2" xfId="18" applyFont="1" applyFill="1" applyBorder="1" applyAlignment="1">
      <alignment vertical="center" wrapText="1"/>
      <protection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5" fillId="3" borderId="1" xfId="17" applyNumberFormat="1" applyFont="1" applyFill="1" applyBorder="1" applyAlignment="1" applyProtection="1">
      <alignment vertical="center"/>
      <protection/>
    </xf>
    <xf numFmtId="165" fontId="5" fillId="4" borderId="1" xfId="17" applyNumberFormat="1" applyFont="1" applyFill="1" applyBorder="1" applyAlignment="1" applyProtection="1">
      <alignment vertical="center"/>
      <protection/>
    </xf>
    <xf numFmtId="0" fontId="1" fillId="0" borderId="1" xfId="18" applyFont="1" applyBorder="1" applyAlignment="1">
      <alignment vertical="center" wrapText="1"/>
      <protection/>
    </xf>
    <xf numFmtId="0" fontId="4" fillId="0" borderId="1" xfId="18" applyFont="1" applyBorder="1" applyAlignment="1">
      <alignment vertical="center" wrapText="1"/>
      <protection/>
    </xf>
    <xf numFmtId="0" fontId="5" fillId="0" borderId="1" xfId="18" applyFont="1" applyBorder="1" applyAlignment="1">
      <alignment horizontal="right" vertical="center" wrapText="1"/>
      <protection/>
    </xf>
    <xf numFmtId="165" fontId="5" fillId="0" borderId="1" xfId="17" applyNumberFormat="1" applyFont="1" applyFill="1" applyBorder="1" applyAlignment="1" applyProtection="1">
      <alignment horizontal="right" vertical="center" wrapText="1"/>
      <protection/>
    </xf>
    <xf numFmtId="167" fontId="5" fillId="6" borderId="1" xfId="17" applyNumberFormat="1" applyFont="1" applyFill="1" applyBorder="1" applyAlignment="1" applyProtection="1">
      <alignment vertical="center"/>
      <protection/>
    </xf>
    <xf numFmtId="165" fontId="5" fillId="0" borderId="1" xfId="17" applyNumberFormat="1" applyFont="1" applyFill="1" applyBorder="1" applyAlignment="1" applyProtection="1">
      <alignment vertical="center" wrapText="1"/>
      <protection/>
    </xf>
    <xf numFmtId="165" fontId="5" fillId="3" borderId="1" xfId="17" applyNumberFormat="1" applyFont="1" applyFill="1" applyBorder="1" applyAlignment="1" applyProtection="1">
      <alignment horizontal="center" vertical="center"/>
      <protection/>
    </xf>
    <xf numFmtId="165" fontId="5" fillId="3" borderId="1" xfId="17" applyNumberFormat="1" applyFont="1" applyFill="1" applyBorder="1" applyAlignment="1" applyProtection="1">
      <alignment horizontal="center" vertical="center" wrapText="1"/>
      <protection/>
    </xf>
    <xf numFmtId="10" fontId="5" fillId="4" borderId="1" xfId="17" applyNumberFormat="1" applyFont="1" applyFill="1" applyBorder="1" applyAlignment="1" applyProtection="1">
      <alignment vertical="center"/>
      <protection/>
    </xf>
    <xf numFmtId="10" fontId="5" fillId="5" borderId="1" xfId="17" applyNumberFormat="1" applyFont="1" applyFill="1" applyBorder="1" applyAlignment="1" applyProtection="1">
      <alignment vertical="center"/>
      <protection/>
    </xf>
    <xf numFmtId="10" fontId="5" fillId="6" borderId="1" xfId="17" applyNumberFormat="1" applyFont="1" applyFill="1" applyBorder="1" applyAlignment="1" applyProtection="1">
      <alignment vertical="center"/>
      <protection/>
    </xf>
    <xf numFmtId="10" fontId="13" fillId="0" borderId="1" xfId="17" applyNumberFormat="1" applyFont="1" applyFill="1" applyBorder="1" applyAlignment="1" applyProtection="1">
      <alignment vertical="center"/>
      <protection/>
    </xf>
    <xf numFmtId="10" fontId="13" fillId="6" borderId="1" xfId="17" applyNumberFormat="1" applyFont="1" applyFill="1" applyBorder="1" applyAlignment="1" applyProtection="1">
      <alignment vertical="center"/>
      <protection/>
    </xf>
    <xf numFmtId="10" fontId="5" fillId="9" borderId="1" xfId="17" applyNumberFormat="1" applyFont="1" applyFill="1" applyBorder="1" applyAlignment="1" applyProtection="1">
      <alignment vertical="center"/>
      <protection/>
    </xf>
    <xf numFmtId="0" fontId="0" fillId="3" borderId="1" xfId="18" applyFont="1" applyFill="1" applyBorder="1" applyAlignment="1">
      <alignment vertical="center"/>
      <protection/>
    </xf>
    <xf numFmtId="10" fontId="5" fillId="0" borderId="1" xfId="17" applyNumberFormat="1" applyFont="1" applyFill="1" applyBorder="1" applyAlignment="1" applyProtection="1">
      <alignment vertical="center"/>
      <protection/>
    </xf>
    <xf numFmtId="0" fontId="13" fillId="0" borderId="1" xfId="18" applyFont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4" fillId="0" borderId="2" xfId="18" applyFont="1" applyBorder="1" applyAlignment="1">
      <alignment vertical="center" wrapText="1"/>
      <protection/>
    </xf>
    <xf numFmtId="165" fontId="7" fillId="0" borderId="1" xfId="17" applyNumberFormat="1" applyFont="1" applyFill="1" applyBorder="1" applyAlignment="1" applyProtection="1">
      <alignment vertical="center"/>
      <protection/>
    </xf>
    <xf numFmtId="165" fontId="6" fillId="0" borderId="2" xfId="17" applyNumberFormat="1" applyFont="1" applyFill="1" applyBorder="1" applyAlignment="1" applyProtection="1">
      <alignment vertical="center"/>
      <protection/>
    </xf>
    <xf numFmtId="165" fontId="6" fillId="0" borderId="2" xfId="17" applyNumberFormat="1" applyFont="1" applyFill="1" applyBorder="1" applyAlignment="1" applyProtection="1">
      <alignment vertical="center"/>
      <protection/>
    </xf>
    <xf numFmtId="165" fontId="7" fillId="0" borderId="2" xfId="17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4" fillId="0" borderId="2" xfId="0" applyFont="1" applyBorder="1" applyAlignment="1">
      <alignment horizontal="left" wrapText="1"/>
    </xf>
    <xf numFmtId="165" fontId="10" fillId="0" borderId="1" xfId="17" applyNumberFormat="1" applyFont="1" applyFill="1" applyBorder="1" applyAlignment="1" applyProtection="1">
      <alignment vertical="center"/>
      <protection/>
    </xf>
    <xf numFmtId="165" fontId="10" fillId="6" borderId="1" xfId="17" applyNumberFormat="1" applyFont="1" applyFill="1" applyBorder="1" applyAlignment="1" applyProtection="1">
      <alignment vertical="center"/>
      <protection/>
    </xf>
    <xf numFmtId="0" fontId="14" fillId="0" borderId="2" xfId="0" applyFont="1" applyBorder="1" applyAlignment="1">
      <alignment/>
    </xf>
    <xf numFmtId="0" fontId="1" fillId="11" borderId="1" xfId="18" applyFont="1" applyFill="1" applyBorder="1" applyAlignment="1">
      <alignment vertical="center" wrapText="1"/>
      <protection/>
    </xf>
    <xf numFmtId="0" fontId="0" fillId="0" borderId="2" xfId="0" applyFont="1" applyBorder="1" applyAlignment="1">
      <alignment/>
    </xf>
    <xf numFmtId="0" fontId="14" fillId="0" borderId="1" xfId="18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19" fillId="12" borderId="1" xfId="18" applyFont="1" applyFill="1" applyBorder="1" applyAlignment="1">
      <alignment vertical="center" wrapText="1"/>
      <protection/>
    </xf>
    <xf numFmtId="168" fontId="1" fillId="0" borderId="1" xfId="18" applyNumberFormat="1" applyBorder="1" applyAlignment="1">
      <alignment vertical="center"/>
      <protection/>
    </xf>
    <xf numFmtId="168" fontId="1" fillId="0" borderId="1" xfId="18" applyNumberFormat="1" applyFill="1" applyBorder="1" applyAlignment="1">
      <alignment vertical="center"/>
      <protection/>
    </xf>
    <xf numFmtId="0" fontId="19" fillId="0" borderId="1" xfId="18" applyFont="1" applyBorder="1" applyAlignment="1">
      <alignment horizontal="right" vertical="center" wrapText="1"/>
      <protection/>
    </xf>
    <xf numFmtId="16" fontId="19" fillId="0" borderId="1" xfId="18" applyNumberFormat="1" applyFont="1" applyBorder="1" applyAlignment="1">
      <alignment horizontal="right" vertical="center" wrapText="1"/>
      <protection/>
    </xf>
    <xf numFmtId="168" fontId="4" fillId="0" borderId="1" xfId="18" applyNumberFormat="1" applyFont="1" applyBorder="1" applyAlignment="1">
      <alignment vertical="center"/>
      <protection/>
    </xf>
    <xf numFmtId="168" fontId="4" fillId="0" borderId="1" xfId="18" applyNumberFormat="1" applyFont="1" applyFill="1" applyBorder="1" applyAlignment="1">
      <alignment vertical="center"/>
      <protection/>
    </xf>
    <xf numFmtId="0" fontId="19" fillId="13" borderId="1" xfId="18" applyFont="1" applyFill="1" applyBorder="1" applyAlignment="1">
      <alignment vertical="center" wrapText="1"/>
      <protection/>
    </xf>
    <xf numFmtId="0" fontId="19" fillId="0" borderId="1" xfId="18" applyFont="1" applyBorder="1" applyAlignment="1">
      <alignment vertical="center" wrapText="1"/>
      <protection/>
    </xf>
    <xf numFmtId="168" fontId="4" fillId="13" borderId="1" xfId="18" applyNumberFormat="1" applyFont="1" applyFill="1" applyBorder="1" applyAlignment="1">
      <alignment vertical="center"/>
      <protection/>
    </xf>
    <xf numFmtId="0" fontId="19" fillId="14" borderId="1" xfId="18" applyFont="1" applyFill="1" applyBorder="1" applyAlignment="1">
      <alignment horizontal="center" vertical="center"/>
      <protection/>
    </xf>
    <xf numFmtId="0" fontId="19" fillId="0" borderId="1" xfId="18" applyFont="1" applyFill="1" applyBorder="1" applyAlignment="1">
      <alignment horizontal="center" vertical="center"/>
      <protection/>
    </xf>
    <xf numFmtId="0" fontId="1" fillId="0" borderId="3" xfId="18" applyBorder="1" applyAlignment="1">
      <alignment vertical="center"/>
      <protection/>
    </xf>
    <xf numFmtId="0" fontId="4" fillId="0" borderId="1" xfId="18" applyFont="1" applyFill="1" applyBorder="1" applyAlignment="1">
      <alignment vertical="center"/>
      <protection/>
    </xf>
    <xf numFmtId="0" fontId="0" fillId="0" borderId="4" xfId="18" applyFont="1" applyBorder="1" applyAlignment="1">
      <alignment vertical="center" wrapText="1"/>
      <protection/>
    </xf>
    <xf numFmtId="165" fontId="6" fillId="14" borderId="1" xfId="17" applyNumberFormat="1" applyFont="1" applyFill="1" applyBorder="1" applyAlignment="1" applyProtection="1">
      <alignment vertical="center"/>
      <protection/>
    </xf>
    <xf numFmtId="0" fontId="0" fillId="0" borderId="5" xfId="18" applyFont="1" applyBorder="1" applyAlignment="1">
      <alignment vertical="center" wrapText="1"/>
      <protection/>
    </xf>
    <xf numFmtId="0" fontId="1" fillId="0" borderId="6" xfId="18" applyBorder="1" applyAlignment="1">
      <alignment vertical="center"/>
      <protection/>
    </xf>
    <xf numFmtId="0" fontId="1" fillId="0" borderId="6" xfId="18" applyFill="1" applyBorder="1" applyAlignment="1">
      <alignment vertical="center"/>
      <protection/>
    </xf>
    <xf numFmtId="0" fontId="19" fillId="14" borderId="1" xfId="18" applyFont="1" applyFill="1" applyBorder="1" applyAlignment="1">
      <alignment vertical="center" wrapText="1"/>
      <protection/>
    </xf>
    <xf numFmtId="0" fontId="0" fillId="0" borderId="1" xfId="18" applyFont="1" applyBorder="1" applyAlignment="1">
      <alignment vertical="center" wrapText="1"/>
      <protection/>
    </xf>
    <xf numFmtId="4" fontId="1" fillId="0" borderId="1" xfId="18" applyNumberFormat="1" applyBorder="1" applyAlignment="1">
      <alignment vertical="center"/>
      <protection/>
    </xf>
    <xf numFmtId="4" fontId="1" fillId="0" borderId="1" xfId="18" applyNumberFormat="1" applyFill="1" applyBorder="1" applyAlignment="1">
      <alignment vertical="center"/>
      <protection/>
    </xf>
    <xf numFmtId="0" fontId="1" fillId="0" borderId="1" xfId="18" applyFill="1" applyBorder="1" applyAlignment="1">
      <alignment vertical="center"/>
      <protection/>
    </xf>
    <xf numFmtId="4" fontId="4" fillId="0" borderId="1" xfId="18" applyNumberFormat="1" applyFont="1" applyBorder="1" applyAlignment="1">
      <alignment vertical="center"/>
      <protection/>
    </xf>
    <xf numFmtId="4" fontId="4" fillId="0" borderId="1" xfId="18" applyNumberFormat="1" applyFont="1" applyFill="1" applyBorder="1" applyAlignment="1">
      <alignment vertical="center"/>
      <protection/>
    </xf>
    <xf numFmtId="0" fontId="19" fillId="14" borderId="7" xfId="18" applyFont="1" applyFill="1" applyBorder="1" applyAlignment="1">
      <alignment vertical="center" wrapText="1"/>
      <protection/>
    </xf>
    <xf numFmtId="0" fontId="0" fillId="14" borderId="1" xfId="18" applyFont="1" applyFill="1" applyBorder="1" applyAlignment="1">
      <alignment vertical="center" wrapText="1"/>
      <protection/>
    </xf>
    <xf numFmtId="0" fontId="0" fillId="0" borderId="0" xfId="18" applyFont="1" applyBorder="1" applyAlignment="1">
      <alignment vertical="center"/>
      <protection/>
    </xf>
    <xf numFmtId="0" fontId="2" fillId="2" borderId="1" xfId="18" applyFont="1" applyFill="1" applyBorder="1" applyAlignment="1">
      <alignment vertical="center"/>
      <protection/>
    </xf>
    <xf numFmtId="0" fontId="13" fillId="0" borderId="1" xfId="18" applyFont="1" applyBorder="1" applyAlignment="1">
      <alignment horizontal="left" vertical="center"/>
      <protection/>
    </xf>
    <xf numFmtId="0" fontId="5" fillId="0" borderId="1" xfId="18" applyFont="1" applyFill="1" applyBorder="1" applyAlignment="1">
      <alignment vertical="center" wrapText="1"/>
      <protection/>
    </xf>
    <xf numFmtId="0" fontId="0" fillId="0" borderId="1" xfId="18" applyFont="1" applyFill="1" applyBorder="1" applyAlignment="1">
      <alignment vertical="center"/>
      <protection/>
    </xf>
    <xf numFmtId="0" fontId="14" fillId="0" borderId="1" xfId="18" applyFont="1" applyBorder="1" applyAlignment="1">
      <alignment vertical="center"/>
      <protection/>
    </xf>
    <xf numFmtId="0" fontId="14" fillId="0" borderId="1" xfId="0" applyFont="1" applyBorder="1" applyAlignment="1">
      <alignment/>
    </xf>
    <xf numFmtId="0" fontId="20" fillId="0" borderId="1" xfId="18" applyFont="1" applyBorder="1" applyAlignment="1">
      <alignment vertical="center" wrapText="1"/>
      <protection/>
    </xf>
    <xf numFmtId="0" fontId="13" fillId="0" borderId="1" xfId="18" applyFont="1" applyFill="1" applyBorder="1" applyAlignment="1">
      <alignment vertical="center"/>
      <protection/>
    </xf>
    <xf numFmtId="0" fontId="19" fillId="12" borderId="1" xfId="18" applyFont="1" applyFill="1" applyBorder="1" applyAlignment="1">
      <alignment vertical="center"/>
      <protection/>
    </xf>
    <xf numFmtId="164" fontId="0" fillId="0" borderId="0" xfId="17" applyNumberFormat="1" applyFont="1" applyFill="1" applyBorder="1" applyAlignment="1" applyProtection="1">
      <alignment vertical="center"/>
      <protection/>
    </xf>
    <xf numFmtId="169" fontId="22" fillId="0" borderId="0" xfId="18" applyNumberFormat="1" applyFont="1" applyFill="1" applyBorder="1" applyAlignment="1">
      <alignment horizontal="center" vertical="center" wrapText="1"/>
      <protection/>
    </xf>
    <xf numFmtId="169" fontId="3" fillId="0" borderId="0" xfId="18" applyNumberFormat="1" applyFont="1" applyFill="1" applyBorder="1" applyAlignment="1">
      <alignment horizontal="center" vertical="center" wrapText="1"/>
      <protection/>
    </xf>
    <xf numFmtId="164" fontId="0" fillId="0" borderId="0" xfId="17" applyNumberFormat="1" applyFont="1" applyFill="1" applyBorder="1" applyAlignment="1" applyProtection="1">
      <alignment horizontal="center" vertical="center"/>
      <protection/>
    </xf>
    <xf numFmtId="165" fontId="23" fillId="0" borderId="0" xfId="18" applyNumberFormat="1" applyFont="1" applyFill="1" applyBorder="1" applyAlignment="1">
      <alignment horizontal="center" vertical="center"/>
      <protection/>
    </xf>
    <xf numFmtId="0" fontId="13" fillId="0" borderId="2" xfId="18" applyFont="1" applyBorder="1" applyAlignment="1">
      <alignment horizontal="left" vertical="center"/>
      <protection/>
    </xf>
    <xf numFmtId="0" fontId="3" fillId="0" borderId="2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/>
      <protection/>
    </xf>
    <xf numFmtId="165" fontId="13" fillId="0" borderId="2" xfId="17" applyNumberFormat="1" applyFont="1" applyFill="1" applyBorder="1" applyAlignment="1" applyProtection="1">
      <alignment vertical="center"/>
      <protection/>
    </xf>
    <xf numFmtId="0" fontId="1" fillId="0" borderId="2" xfId="18" applyBorder="1" applyAlignment="1">
      <alignment vertical="center"/>
      <protection/>
    </xf>
    <xf numFmtId="165" fontId="12" fillId="0" borderId="2" xfId="17" applyNumberFormat="1" applyFont="1" applyFill="1" applyBorder="1" applyAlignment="1" applyProtection="1">
      <alignment vertical="center"/>
      <protection/>
    </xf>
    <xf numFmtId="165" fontId="24" fillId="0" borderId="2" xfId="17" applyNumberFormat="1" applyFont="1" applyFill="1" applyBorder="1" applyAlignment="1" applyProtection="1">
      <alignment vertical="center"/>
      <protection/>
    </xf>
    <xf numFmtId="165" fontId="1" fillId="0" borderId="2" xfId="18" applyNumberFormat="1" applyBorder="1" applyAlignment="1">
      <alignment vertical="center"/>
      <protection/>
    </xf>
    <xf numFmtId="0" fontId="1" fillId="0" borderId="2" xfId="18" applyFill="1" applyBorder="1" applyAlignment="1">
      <alignment vertical="center"/>
      <protection/>
    </xf>
    <xf numFmtId="165" fontId="1" fillId="0" borderId="2" xfId="18" applyNumberFormat="1" applyFill="1" applyBorder="1" applyAlignment="1">
      <alignment vertical="center"/>
      <protection/>
    </xf>
    <xf numFmtId="165" fontId="5" fillId="0" borderId="2" xfId="17" applyNumberFormat="1" applyFont="1" applyFill="1" applyBorder="1" applyAlignment="1" applyProtection="1">
      <alignment vertical="center"/>
      <protection/>
    </xf>
    <xf numFmtId="0" fontId="6" fillId="0" borderId="2" xfId="18" applyFont="1" applyFill="1" applyBorder="1" applyAlignment="1">
      <alignment vertical="center"/>
      <protection/>
    </xf>
    <xf numFmtId="0" fontId="0" fillId="0" borderId="2" xfId="0" applyBorder="1" applyAlignment="1">
      <alignment/>
    </xf>
    <xf numFmtId="0" fontId="0" fillId="0" borderId="2" xfId="18" applyFont="1" applyBorder="1" applyAlignment="1">
      <alignment vertical="center"/>
      <protection/>
    </xf>
    <xf numFmtId="165" fontId="0" fillId="0" borderId="2" xfId="18" applyNumberFormat="1" applyFont="1" applyBorder="1" applyAlignment="1">
      <alignment vertical="center"/>
      <protection/>
    </xf>
    <xf numFmtId="168" fontId="0" fillId="0" borderId="2" xfId="18" applyNumberFormat="1" applyFont="1" applyBorder="1" applyAlignment="1">
      <alignment vertical="center"/>
      <protection/>
    </xf>
    <xf numFmtId="167" fontId="19" fillId="0" borderId="2" xfId="17" applyNumberFormat="1" applyFont="1" applyFill="1" applyBorder="1" applyAlignment="1" applyProtection="1">
      <alignment/>
      <protection/>
    </xf>
    <xf numFmtId="170" fontId="0" fillId="0" borderId="2" xfId="0" applyNumberFormat="1" applyBorder="1" applyAlignment="1">
      <alignment/>
    </xf>
    <xf numFmtId="167" fontId="0" fillId="0" borderId="2" xfId="17" applyNumberFormat="1" applyFont="1" applyFill="1" applyBorder="1" applyAlignment="1" applyProtection="1">
      <alignment/>
      <protection/>
    </xf>
    <xf numFmtId="0" fontId="0" fillId="0" borderId="2" xfId="18" applyFont="1" applyFill="1" applyBorder="1" applyAlignment="1">
      <alignment vertical="center"/>
      <protection/>
    </xf>
    <xf numFmtId="168" fontId="0" fillId="0" borderId="0" xfId="18" applyNumberFormat="1" applyFont="1" applyAlignment="1">
      <alignment vertical="center"/>
      <protection/>
    </xf>
    <xf numFmtId="165" fontId="6" fillId="14" borderId="2" xfId="17" applyNumberFormat="1" applyFont="1" applyFill="1" applyBorder="1" applyAlignment="1" applyProtection="1">
      <alignment vertical="center"/>
      <protection/>
    </xf>
    <xf numFmtId="0" fontId="14" fillId="0" borderId="2" xfId="18" applyFont="1" applyBorder="1" applyAlignment="1">
      <alignment vertical="center"/>
      <protection/>
    </xf>
    <xf numFmtId="0" fontId="1" fillId="0" borderId="0" xfId="18" applyBorder="1" applyAlignment="1">
      <alignment vertical="center"/>
      <protection/>
    </xf>
    <xf numFmtId="168" fontId="1" fillId="0" borderId="0" xfId="18" applyNumberFormat="1" applyAlignment="1">
      <alignment vertical="center"/>
      <protection/>
    </xf>
    <xf numFmtId="165" fontId="1" fillId="0" borderId="0" xfId="18" applyNumberFormat="1" applyAlignment="1">
      <alignment vertical="center"/>
      <protection/>
    </xf>
    <xf numFmtId="0" fontId="20" fillId="0" borderId="2" xfId="18" applyFont="1" applyBorder="1" applyAlignment="1">
      <alignment vertical="center" wrapText="1"/>
      <protection/>
    </xf>
    <xf numFmtId="0" fontId="13" fillId="0" borderId="2" xfId="18" applyFont="1" applyFill="1" applyBorder="1" applyAlignment="1">
      <alignment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5" fillId="15" borderId="1" xfId="17" applyNumberFormat="1" applyFont="1" applyFill="1" applyBorder="1" applyAlignment="1" applyProtection="1">
      <alignment vertical="center"/>
      <protection/>
    </xf>
    <xf numFmtId="165" fontId="6" fillId="15" borderId="1" xfId="17" applyNumberFormat="1" applyFont="1" applyFill="1" applyBorder="1" applyAlignment="1" applyProtection="1">
      <alignment vertical="center"/>
      <protection/>
    </xf>
    <xf numFmtId="43" fontId="1" fillId="0" borderId="0" xfId="18" applyNumberFormat="1" applyFont="1" applyAlignment="1">
      <alignment vertical="center"/>
      <protection/>
    </xf>
    <xf numFmtId="43" fontId="1" fillId="0" borderId="1" xfId="18" applyNumberFormat="1" applyBorder="1" applyAlignment="1">
      <alignment vertical="center"/>
      <protection/>
    </xf>
    <xf numFmtId="43" fontId="0" fillId="0" borderId="0" xfId="0" applyNumberFormat="1" applyAlignment="1">
      <alignment/>
    </xf>
    <xf numFmtId="0" fontId="19" fillId="14" borderId="1" xfId="18" applyFont="1" applyFill="1" applyBorder="1" applyAlignment="1">
      <alignment horizontal="center" vertical="center" wrapText="1"/>
      <protection/>
    </xf>
    <xf numFmtId="0" fontId="3" fillId="3" borderId="1" xfId="18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5" fillId="0" borderId="8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3" fillId="0" borderId="2" xfId="18" applyFont="1" applyBorder="1" applyAlignment="1">
      <alignment horizontal="left" vertical="center"/>
      <protection/>
    </xf>
    <xf numFmtId="0" fontId="14" fillId="16" borderId="2" xfId="18" applyFont="1" applyFill="1" applyBorder="1" applyAlignment="1">
      <alignment vertical="center" wrapText="1"/>
      <protection/>
    </xf>
    <xf numFmtId="0" fontId="1" fillId="17" borderId="1" xfId="18" applyFont="1" applyFill="1" applyBorder="1" applyAlignment="1">
      <alignment vertical="center" wrapText="1"/>
      <protection/>
    </xf>
    <xf numFmtId="43" fontId="0" fillId="0" borderId="0" xfId="18" applyNumberFormat="1" applyFont="1" applyAlignment="1">
      <alignment vertical="center"/>
      <protection/>
    </xf>
  </cellXfs>
  <cellStyles count="8">
    <cellStyle name="Normal" xfId="0"/>
    <cellStyle name="Excel Built-in Normal" xfId="15"/>
    <cellStyle name="Comma" xfId="16"/>
    <cellStyle name="Comma [0]" xfId="17"/>
    <cellStyle name="Normale_Quadro Economico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99"/>
      <rgbColor rgb="0066FF99"/>
      <rgbColor rgb="00FF99FF"/>
      <rgbColor rgb="00CC99FF"/>
      <rgbColor rgb="00FFFF66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view="pageBreakPreview" zoomScale="85" zoomScaleNormal="90" zoomScaleSheetLayoutView="85" workbookViewId="0" topLeftCell="B80">
      <selection activeCell="Q87" sqref="Q87"/>
    </sheetView>
  </sheetViews>
  <sheetFormatPr defaultColWidth="9.140625" defaultRowHeight="20.25" customHeight="1"/>
  <cols>
    <col min="1" max="1" width="78.00390625" style="1" customWidth="1"/>
    <col min="2" max="2" width="18.7109375" style="2" customWidth="1"/>
    <col min="3" max="4" width="16.00390625" style="2" customWidth="1"/>
    <col min="5" max="7" width="22.140625" style="2" customWidth="1"/>
    <col min="8" max="8" width="17.140625" style="3" customWidth="1"/>
    <col min="9" max="9" width="15.7109375" style="3" customWidth="1"/>
    <col min="10" max="10" width="19.00390625" style="3" customWidth="1"/>
    <col min="11" max="16" width="0" style="2" hidden="1" customWidth="1"/>
    <col min="17" max="17" width="46.00390625" style="2" customWidth="1"/>
    <col min="18" max="18" width="32.28125" style="2" customWidth="1"/>
    <col min="19" max="19" width="18.140625" style="4" customWidth="1"/>
    <col min="20" max="20" width="13.28125" style="2" customWidth="1"/>
    <col min="21" max="21" width="18.28125" style="2" customWidth="1"/>
    <col min="22" max="22" width="17.57421875" style="2" customWidth="1"/>
    <col min="23" max="23" width="13.140625" style="2" customWidth="1"/>
    <col min="24" max="24" width="15.57421875" style="2" customWidth="1"/>
    <col min="25" max="16384" width="9.140625" style="2" customWidth="1"/>
  </cols>
  <sheetData>
    <row r="1" ht="12.75" customHeight="1">
      <c r="A1" s="5"/>
    </row>
    <row r="2" spans="1:10" ht="60.75" customHeight="1">
      <c r="A2" s="6" t="s">
        <v>0</v>
      </c>
      <c r="B2" s="174" t="s">
        <v>1</v>
      </c>
      <c r="C2" s="174"/>
      <c r="D2" s="175" t="s">
        <v>2</v>
      </c>
      <c r="E2" s="175"/>
      <c r="F2" s="175"/>
      <c r="G2" s="7" t="s">
        <v>3</v>
      </c>
      <c r="H2" s="176" t="s">
        <v>4</v>
      </c>
      <c r="I2" s="176"/>
      <c r="J2" s="176"/>
    </row>
    <row r="3" spans="1:10" ht="68.25" customHeight="1">
      <c r="A3" s="6" t="s">
        <v>5</v>
      </c>
      <c r="B3" s="8" t="s">
        <v>6</v>
      </c>
      <c r="C3" s="8" t="s">
        <v>7</v>
      </c>
      <c r="D3" s="176" t="s">
        <v>8</v>
      </c>
      <c r="E3" s="176"/>
      <c r="F3" s="176"/>
      <c r="G3" s="7" t="s">
        <v>9</v>
      </c>
      <c r="H3" s="7" t="s">
        <v>10</v>
      </c>
      <c r="I3" s="7" t="s">
        <v>11</v>
      </c>
      <c r="J3" s="7" t="s">
        <v>12</v>
      </c>
    </row>
    <row r="4" spans="1:17" ht="127.5" customHeight="1">
      <c r="A4" s="6"/>
      <c r="B4" s="8" t="s">
        <v>13</v>
      </c>
      <c r="C4" s="8" t="s">
        <v>14</v>
      </c>
      <c r="D4" s="9" t="s">
        <v>15</v>
      </c>
      <c r="E4" s="10" t="s">
        <v>16</v>
      </c>
      <c r="F4" s="11" t="s">
        <v>17</v>
      </c>
      <c r="G4" s="7" t="s">
        <v>9</v>
      </c>
      <c r="H4" s="7"/>
      <c r="I4" s="7"/>
      <c r="J4" s="7"/>
      <c r="K4" s="11"/>
      <c r="L4" s="12" t="s">
        <v>18</v>
      </c>
      <c r="M4" s="12" t="s">
        <v>19</v>
      </c>
      <c r="N4" s="12" t="s">
        <v>20</v>
      </c>
      <c r="O4" s="13" t="s">
        <v>10</v>
      </c>
      <c r="P4" s="13" t="s">
        <v>11</v>
      </c>
      <c r="Q4" s="14" t="s">
        <v>21</v>
      </c>
    </row>
    <row r="5" spans="1:17" ht="35.25" customHeight="1">
      <c r="A5" s="15" t="s">
        <v>22</v>
      </c>
      <c r="B5" s="16">
        <v>95466.64</v>
      </c>
      <c r="C5" s="16">
        <f>B5</f>
        <v>95466.64</v>
      </c>
      <c r="D5" s="17">
        <f>C5</f>
        <v>95466.64</v>
      </c>
      <c r="E5" s="18">
        <f>B5</f>
        <v>95466.64</v>
      </c>
      <c r="F5" s="19">
        <f>E5</f>
        <v>95466.64</v>
      </c>
      <c r="G5" s="20">
        <f aca="true" t="shared" si="0" ref="G5:G20">F5-B5</f>
        <v>0</v>
      </c>
      <c r="H5" s="21"/>
      <c r="I5" s="21"/>
      <c r="J5" s="21"/>
      <c r="K5" s="21"/>
      <c r="L5" s="21">
        <f>F5</f>
        <v>95466.64</v>
      </c>
      <c r="M5" s="21">
        <f>L5-C5</f>
        <v>0</v>
      </c>
      <c r="N5" s="21"/>
      <c r="O5" s="22"/>
      <c r="P5" s="23"/>
      <c r="Q5" s="23"/>
    </row>
    <row r="6" spans="1:17" ht="35.25" customHeight="1">
      <c r="A6" s="15" t="s">
        <v>23</v>
      </c>
      <c r="B6" s="16">
        <v>7236794.98</v>
      </c>
      <c r="C6" s="16">
        <v>7236794.98</v>
      </c>
      <c r="D6" s="17">
        <v>7236794.98</v>
      </c>
      <c r="E6" s="18">
        <f>B6</f>
        <v>7236794.98</v>
      </c>
      <c r="F6" s="19">
        <f>E6</f>
        <v>7236794.98</v>
      </c>
      <c r="G6" s="20">
        <f t="shared" si="0"/>
        <v>0</v>
      </c>
      <c r="H6" s="21"/>
      <c r="I6" s="21"/>
      <c r="J6" s="21"/>
      <c r="K6" s="21"/>
      <c r="L6" s="21">
        <f>F6</f>
        <v>7236794.98</v>
      </c>
      <c r="M6" s="21">
        <f>L6-C6</f>
        <v>0</v>
      </c>
      <c r="N6" s="21"/>
      <c r="O6" s="23"/>
      <c r="P6" s="23"/>
      <c r="Q6" s="23"/>
    </row>
    <row r="7" spans="1:19" s="27" customFormat="1" ht="35.25" customHeight="1">
      <c r="A7" s="24" t="s">
        <v>24</v>
      </c>
      <c r="B7" s="25"/>
      <c r="C7" s="16">
        <f>2042992.28-56798</f>
        <v>1986194.28</v>
      </c>
      <c r="D7" s="17">
        <f>C7</f>
        <v>1986194.28</v>
      </c>
      <c r="E7" s="18">
        <f>D7</f>
        <v>1986194.28</v>
      </c>
      <c r="F7" s="19">
        <f>E7</f>
        <v>1986194.28</v>
      </c>
      <c r="G7" s="168">
        <f t="shared" si="0"/>
        <v>1986194.28</v>
      </c>
      <c r="H7" s="21"/>
      <c r="I7" s="21"/>
      <c r="J7" s="21"/>
      <c r="K7" s="21"/>
      <c r="L7" s="21">
        <f>F7</f>
        <v>1986194.28</v>
      </c>
      <c r="M7" s="21">
        <v>0</v>
      </c>
      <c r="N7" s="21"/>
      <c r="O7" s="26"/>
      <c r="P7" s="26">
        <f>C7*(1-0.33932382)</f>
        <v>1312231.2496482506</v>
      </c>
      <c r="Q7" s="26"/>
      <c r="S7" s="28"/>
    </row>
    <row r="8" spans="1:24" s="27" customFormat="1" ht="35.25" customHeight="1">
      <c r="A8" s="29" t="s">
        <v>25</v>
      </c>
      <c r="B8" s="30"/>
      <c r="C8" s="30"/>
      <c r="D8" s="17">
        <f>SUM(D9:D16)</f>
        <v>1225027.228921739</v>
      </c>
      <c r="E8" s="18">
        <f aca="true" t="shared" si="1" ref="E8:E16">D8</f>
        <v>1225027.228921739</v>
      </c>
      <c r="F8" s="30">
        <f>D8</f>
        <v>1225027.228921739</v>
      </c>
      <c r="G8" s="168">
        <f t="shared" si="0"/>
        <v>1225027.228921739</v>
      </c>
      <c r="H8" s="21"/>
      <c r="I8" s="21"/>
      <c r="J8" s="21"/>
      <c r="K8" s="21"/>
      <c r="L8" s="21"/>
      <c r="M8" s="21"/>
      <c r="N8" s="21"/>
      <c r="O8" s="26"/>
      <c r="P8" s="26"/>
      <c r="Q8" s="26"/>
      <c r="S8" s="28"/>
      <c r="T8" s="28" t="s">
        <v>26</v>
      </c>
      <c r="U8" s="28" t="s">
        <v>27</v>
      </c>
      <c r="V8" s="28" t="s">
        <v>28</v>
      </c>
      <c r="W8" s="28" t="s">
        <v>29</v>
      </c>
      <c r="X8" s="27" t="s">
        <v>30</v>
      </c>
    </row>
    <row r="9" spans="1:24" s="27" customFormat="1" ht="35.25" customHeight="1" hidden="1">
      <c r="A9" s="31" t="s">
        <v>31</v>
      </c>
      <c r="B9" s="30"/>
      <c r="C9" s="30"/>
      <c r="D9" s="17">
        <f>8260.99/(1-0.33932382)</f>
        <v>12503.841140450982</v>
      </c>
      <c r="E9" s="18">
        <f t="shared" si="1"/>
        <v>12503.841140450982</v>
      </c>
      <c r="F9" s="32">
        <f aca="true" t="shared" si="2" ref="F9:F19">E9</f>
        <v>12503.841140450982</v>
      </c>
      <c r="G9" s="20">
        <f t="shared" si="0"/>
        <v>12503.841140450982</v>
      </c>
      <c r="H9" s="21"/>
      <c r="I9" s="21"/>
      <c r="J9" s="21"/>
      <c r="K9" s="21"/>
      <c r="L9" s="21">
        <f aca="true" t="shared" si="3" ref="L9:L16">F9</f>
        <v>12503.841140450982</v>
      </c>
      <c r="M9" s="21">
        <v>0</v>
      </c>
      <c r="N9" s="21"/>
      <c r="O9" s="26"/>
      <c r="P9" s="26">
        <f aca="true" t="shared" si="4" ref="P9:P15">C9*(1-0.33932382)</f>
        <v>0</v>
      </c>
      <c r="Q9" s="26"/>
      <c r="R9"/>
      <c r="S9" s="28" t="s">
        <v>32</v>
      </c>
      <c r="T9" s="20">
        <v>51908.51</v>
      </c>
      <c r="U9" s="20"/>
      <c r="V9" s="20">
        <f>T9+U9</f>
        <v>51908.51</v>
      </c>
      <c r="W9" s="20">
        <v>192393.13</v>
      </c>
      <c r="X9" s="20">
        <f>T9+U9+W9</f>
        <v>244301.64</v>
      </c>
    </row>
    <row r="10" spans="1:24" s="27" customFormat="1" ht="35.25" customHeight="1" hidden="1">
      <c r="A10" s="33" t="s">
        <v>33</v>
      </c>
      <c r="B10" s="30"/>
      <c r="C10" s="30"/>
      <c r="D10" s="17">
        <f>44128/(1-0.33932382)</f>
        <v>66792.1764638162</v>
      </c>
      <c r="E10" s="18">
        <f t="shared" si="1"/>
        <v>66792.1764638162</v>
      </c>
      <c r="F10" s="32">
        <f t="shared" si="2"/>
        <v>66792.1764638162</v>
      </c>
      <c r="G10" s="20">
        <f t="shared" si="0"/>
        <v>66792.1764638162</v>
      </c>
      <c r="H10" s="21"/>
      <c r="I10" s="21"/>
      <c r="J10" s="21"/>
      <c r="K10" s="21"/>
      <c r="L10" s="21">
        <f t="shared" si="3"/>
        <v>66792.1764638162</v>
      </c>
      <c r="M10" s="21">
        <v>0</v>
      </c>
      <c r="N10" s="21"/>
      <c r="O10" s="26"/>
      <c r="P10" s="26">
        <f t="shared" si="4"/>
        <v>0</v>
      </c>
      <c r="Q10" s="26"/>
      <c r="R10"/>
      <c r="S10" s="28" t="s">
        <v>34</v>
      </c>
      <c r="T10" s="20">
        <v>2581.74</v>
      </c>
      <c r="U10" s="20">
        <v>1480904.66</v>
      </c>
      <c r="V10" s="20">
        <f>T10+U10</f>
        <v>1483486.4</v>
      </c>
      <c r="W10" s="20">
        <v>56798</v>
      </c>
      <c r="X10" s="20">
        <f>T10+U10+W10</f>
        <v>1540284.4</v>
      </c>
    </row>
    <row r="11" spans="1:24" s="27" customFormat="1" ht="35.25" customHeight="1" hidden="1">
      <c r="A11" s="33" t="s">
        <v>35</v>
      </c>
      <c r="B11" s="30"/>
      <c r="C11" s="30"/>
      <c r="D11" s="17">
        <f>115160.26/(1-0.33932382)</f>
        <v>174306.6626073911</v>
      </c>
      <c r="E11" s="18">
        <f t="shared" si="1"/>
        <v>174306.6626073911</v>
      </c>
      <c r="F11" s="32">
        <f t="shared" si="2"/>
        <v>174306.6626073911</v>
      </c>
      <c r="G11" s="20">
        <f t="shared" si="0"/>
        <v>174306.6626073911</v>
      </c>
      <c r="H11" s="21"/>
      <c r="I11" s="21"/>
      <c r="J11" s="21"/>
      <c r="K11" s="21"/>
      <c r="L11" s="21">
        <f t="shared" si="3"/>
        <v>174306.6626073911</v>
      </c>
      <c r="M11" s="21">
        <v>0</v>
      </c>
      <c r="N11" s="21"/>
      <c r="O11" s="26"/>
      <c r="P11" s="26">
        <f t="shared" si="4"/>
        <v>0</v>
      </c>
      <c r="Q11" s="26"/>
      <c r="S11" s="28" t="s">
        <v>36</v>
      </c>
      <c r="V11" s="20">
        <f>963033.74-371505.03+217817.6</f>
        <v>809346.3099999999</v>
      </c>
      <c r="W11" s="20">
        <v>10000</v>
      </c>
      <c r="X11" s="20">
        <f>V11+W11</f>
        <v>819346.3099999999</v>
      </c>
    </row>
    <row r="12" spans="1:24" s="27" customFormat="1" ht="35.25" customHeight="1" hidden="1">
      <c r="A12" s="33" t="s">
        <v>37</v>
      </c>
      <c r="B12" s="30"/>
      <c r="C12" s="30"/>
      <c r="D12" s="17">
        <f>25231.52/(1-0.33932382)</f>
        <v>38190.449063866654</v>
      </c>
      <c r="E12" s="18">
        <f t="shared" si="1"/>
        <v>38190.449063866654</v>
      </c>
      <c r="F12" s="32">
        <f t="shared" si="2"/>
        <v>38190.449063866654</v>
      </c>
      <c r="G12" s="20">
        <f t="shared" si="0"/>
        <v>38190.449063866654</v>
      </c>
      <c r="H12" s="21"/>
      <c r="I12" s="21"/>
      <c r="J12" s="21"/>
      <c r="K12" s="21"/>
      <c r="L12" s="21">
        <f t="shared" si="3"/>
        <v>38190.449063866654</v>
      </c>
      <c r="M12" s="21">
        <v>0</v>
      </c>
      <c r="N12" s="21"/>
      <c r="O12" s="26"/>
      <c r="P12" s="26">
        <f t="shared" si="4"/>
        <v>0</v>
      </c>
      <c r="Q12" s="26"/>
      <c r="S12" s="28" t="s">
        <v>38</v>
      </c>
      <c r="T12" s="20">
        <f>15226.07</f>
        <v>15226.07</v>
      </c>
      <c r="U12" s="20">
        <f>371505.03+535035.5</f>
        <v>906540.53</v>
      </c>
      <c r="V12" s="20">
        <f>T12+U12</f>
        <v>921766.6</v>
      </c>
      <c r="W12" s="20">
        <v>15000</v>
      </c>
      <c r="X12" s="20">
        <f>T12+U12+W12</f>
        <v>936766.6</v>
      </c>
    </row>
    <row r="13" spans="1:19" s="27" customFormat="1" ht="35.25" customHeight="1" hidden="1">
      <c r="A13" s="33" t="s">
        <v>39</v>
      </c>
      <c r="B13" s="30"/>
      <c r="C13" s="30"/>
      <c r="D13" s="17">
        <f>68971.14/(1-0.33932382)</f>
        <v>104394.77324579796</v>
      </c>
      <c r="E13" s="18">
        <f t="shared" si="1"/>
        <v>104394.77324579796</v>
      </c>
      <c r="F13" s="32">
        <f t="shared" si="2"/>
        <v>104394.77324579796</v>
      </c>
      <c r="G13" s="20">
        <f t="shared" si="0"/>
        <v>104394.77324579796</v>
      </c>
      <c r="H13" s="21"/>
      <c r="I13" s="21"/>
      <c r="J13" s="21"/>
      <c r="K13" s="21"/>
      <c r="L13" s="21">
        <f t="shared" si="3"/>
        <v>104394.77324579796</v>
      </c>
      <c r="M13" s="21">
        <v>0</v>
      </c>
      <c r="N13" s="21"/>
      <c r="O13" s="26"/>
      <c r="P13" s="26">
        <f t="shared" si="4"/>
        <v>0</v>
      </c>
      <c r="Q13" s="26"/>
      <c r="S13" s="28"/>
    </row>
    <row r="14" spans="1:24" s="27" customFormat="1" ht="35.25" customHeight="1" hidden="1">
      <c r="A14" s="33" t="s">
        <v>40</v>
      </c>
      <c r="B14" s="30"/>
      <c r="C14" s="30"/>
      <c r="D14" s="17">
        <f>12000/(1-0.33932382)</f>
        <v>18163.209698282142</v>
      </c>
      <c r="E14" s="18">
        <f t="shared" si="1"/>
        <v>18163.209698282142</v>
      </c>
      <c r="F14" s="32">
        <f t="shared" si="2"/>
        <v>18163.209698282142</v>
      </c>
      <c r="G14" s="20">
        <f t="shared" si="0"/>
        <v>18163.209698282142</v>
      </c>
      <c r="H14" s="21"/>
      <c r="I14" s="21"/>
      <c r="J14" s="21"/>
      <c r="K14" s="21"/>
      <c r="L14" s="21">
        <f t="shared" si="3"/>
        <v>18163.209698282142</v>
      </c>
      <c r="M14" s="21">
        <v>0</v>
      </c>
      <c r="N14" s="21"/>
      <c r="O14" s="26"/>
      <c r="P14" s="26">
        <f t="shared" si="4"/>
        <v>0</v>
      </c>
      <c r="Q14" s="26"/>
      <c r="S14" s="28" t="s">
        <v>32</v>
      </c>
      <c r="T14" s="20">
        <v>51908.51</v>
      </c>
      <c r="U14" s="20">
        <v>4984735.4</v>
      </c>
      <c r="V14" s="20">
        <f>T14+U14</f>
        <v>5036643.91</v>
      </c>
      <c r="W14" s="20">
        <v>192393.13</v>
      </c>
      <c r="X14" s="20">
        <f>X9-B37</f>
        <v>-4792342.087862211</v>
      </c>
    </row>
    <row r="15" spans="1:24" ht="35.25" customHeight="1" hidden="1">
      <c r="A15" s="33" t="s">
        <v>41</v>
      </c>
      <c r="B15" s="30"/>
      <c r="C15" s="30"/>
      <c r="D15" s="17">
        <f>217817.6/(1-0.33932382)</f>
        <v>329688.8953980451</v>
      </c>
      <c r="E15" s="18">
        <f t="shared" si="1"/>
        <v>329688.8953980451</v>
      </c>
      <c r="F15" s="32">
        <f t="shared" si="2"/>
        <v>329688.8953980451</v>
      </c>
      <c r="G15" s="20">
        <f t="shared" si="0"/>
        <v>329688.8953980451</v>
      </c>
      <c r="H15" s="21"/>
      <c r="I15" s="21"/>
      <c r="J15" s="21"/>
      <c r="K15" s="21"/>
      <c r="L15" s="21">
        <f t="shared" si="3"/>
        <v>329688.8953980451</v>
      </c>
      <c r="M15" s="21"/>
      <c r="N15" s="21"/>
      <c r="O15" s="22">
        <f>P15+P14+P13+P12+P11+P10+P9+P7</f>
        <v>1312231.2496482506</v>
      </c>
      <c r="P15" s="34">
        <f t="shared" si="4"/>
        <v>0</v>
      </c>
      <c r="Q15" s="23"/>
      <c r="S15" s="28" t="s">
        <v>34</v>
      </c>
      <c r="T15" s="20">
        <v>2581.74</v>
      </c>
      <c r="U15" s="20">
        <v>1480904.66</v>
      </c>
      <c r="V15" s="20">
        <f>T15+U15</f>
        <v>1483486.4</v>
      </c>
      <c r="W15" s="20">
        <v>56798</v>
      </c>
      <c r="X15" s="20">
        <f>X10-C37</f>
        <v>56798</v>
      </c>
    </row>
    <row r="16" spans="1:24" s="27" customFormat="1" ht="35.25" customHeight="1" hidden="1">
      <c r="A16" s="33" t="s">
        <v>42</v>
      </c>
      <c r="B16" s="30"/>
      <c r="C16" s="30"/>
      <c r="D16" s="17">
        <f>317776.8/(1-0.33932382)</f>
        <v>480987.2213040887</v>
      </c>
      <c r="E16" s="18">
        <f t="shared" si="1"/>
        <v>480987.2213040887</v>
      </c>
      <c r="F16" s="32">
        <f t="shared" si="2"/>
        <v>480987.2213040887</v>
      </c>
      <c r="G16" s="20">
        <f t="shared" si="0"/>
        <v>480987.2213040887</v>
      </c>
      <c r="H16" s="21"/>
      <c r="I16" s="21"/>
      <c r="J16" s="21"/>
      <c r="K16" s="21"/>
      <c r="L16" s="21">
        <f t="shared" si="3"/>
        <v>480987.2213040887</v>
      </c>
      <c r="M16" s="21">
        <v>0</v>
      </c>
      <c r="N16" s="21"/>
      <c r="O16" s="26"/>
      <c r="P16" s="26">
        <f>E16*(1-0.33932382)</f>
        <v>317776.8</v>
      </c>
      <c r="Q16" s="26"/>
      <c r="S16" s="28" t="s">
        <v>36</v>
      </c>
      <c r="V16" s="20"/>
      <c r="W16" s="20">
        <v>10000</v>
      </c>
      <c r="X16" s="20">
        <f>X11-D37</f>
        <v>-2.444721758365631E-09</v>
      </c>
    </row>
    <row r="17" spans="1:24" s="27" customFormat="1" ht="42" customHeight="1">
      <c r="A17" s="35" t="s">
        <v>43</v>
      </c>
      <c r="B17" s="35"/>
      <c r="C17" s="35"/>
      <c r="D17" s="35"/>
      <c r="E17" s="18">
        <f>E18+E19</f>
        <v>1395213.9155372605</v>
      </c>
      <c r="F17" s="36">
        <f t="shared" si="2"/>
        <v>1395213.9155372605</v>
      </c>
      <c r="G17" s="168">
        <f t="shared" si="0"/>
        <v>1395213.9155372605</v>
      </c>
      <c r="H17" s="21"/>
      <c r="I17" s="21"/>
      <c r="J17" s="21"/>
      <c r="K17" s="21"/>
      <c r="L17" s="21"/>
      <c r="M17" s="21"/>
      <c r="N17" s="21"/>
      <c r="O17" s="26"/>
      <c r="P17" s="26"/>
      <c r="Q17" s="37"/>
      <c r="S17" s="28" t="s">
        <v>38</v>
      </c>
      <c r="T17" s="20">
        <f>15226.07</f>
        <v>15226.07</v>
      </c>
      <c r="U17" s="20">
        <f>371505.03+535035.5</f>
        <v>906540.53</v>
      </c>
      <c r="V17" s="20">
        <f>T17+U17</f>
        <v>921766.6</v>
      </c>
      <c r="W17" s="20">
        <v>15000</v>
      </c>
      <c r="X17" s="20">
        <f>X12-E37</f>
        <v>-17.99999999871943</v>
      </c>
    </row>
    <row r="18" spans="1:19" s="27" customFormat="1" ht="35.25" customHeight="1" hidden="1">
      <c r="A18" s="35" t="s">
        <v>44</v>
      </c>
      <c r="B18" s="18"/>
      <c r="C18" s="18"/>
      <c r="D18" s="38"/>
      <c r="E18" s="18">
        <f>371505.03/(1-0.33932382)</f>
        <v>562310.3136547166</v>
      </c>
      <c r="F18" s="36">
        <f t="shared" si="2"/>
        <v>562310.3136547166</v>
      </c>
      <c r="G18" s="20">
        <f t="shared" si="0"/>
        <v>562310.3136547166</v>
      </c>
      <c r="H18" s="21"/>
      <c r="I18" s="21"/>
      <c r="J18" s="21"/>
      <c r="K18" s="21"/>
      <c r="L18" s="21">
        <f>F18</f>
        <v>562310.3136547166</v>
      </c>
      <c r="M18" s="21">
        <v>0</v>
      </c>
      <c r="N18" s="21"/>
      <c r="O18" s="26"/>
      <c r="P18" s="26">
        <f>E18*(1-0.33932382)</f>
        <v>371505.03</v>
      </c>
      <c r="Q18" s="37"/>
      <c r="S18" s="28"/>
    </row>
    <row r="19" spans="1:19" ht="35.25" customHeight="1" hidden="1">
      <c r="A19" s="39" t="s">
        <v>45</v>
      </c>
      <c r="B19" s="18"/>
      <c r="C19" s="18"/>
      <c r="D19" s="18"/>
      <c r="E19" s="18">
        <f>(550279.57)/(1-0.33932382)</f>
        <v>832903.6018825439</v>
      </c>
      <c r="F19" s="36">
        <f t="shared" si="2"/>
        <v>832903.6018825439</v>
      </c>
      <c r="G19" s="20">
        <f t="shared" si="0"/>
        <v>832903.6018825439</v>
      </c>
      <c r="H19" s="21"/>
      <c r="I19" s="21"/>
      <c r="J19" s="21"/>
      <c r="K19" s="21"/>
      <c r="L19" s="21">
        <f>F19</f>
        <v>832903.6018825439</v>
      </c>
      <c r="M19" s="21">
        <f>L19-C19</f>
        <v>832903.6018825439</v>
      </c>
      <c r="N19" s="21"/>
      <c r="O19" s="23"/>
      <c r="P19" s="26">
        <f>E19*(1-0.33932382)</f>
        <v>550279.57</v>
      </c>
      <c r="Q19" s="37"/>
      <c r="R19" s="2">
        <f>15226.07+535053.5</f>
        <v>550279.57</v>
      </c>
      <c r="S19" s="4">
        <f>Q19-R19</f>
        <v>-550279.57</v>
      </c>
    </row>
    <row r="20" spans="1:17" ht="48.75" customHeight="1">
      <c r="A20" s="40" t="s">
        <v>46</v>
      </c>
      <c r="B20" s="41"/>
      <c r="C20" s="41"/>
      <c r="D20" s="41"/>
      <c r="E20" s="41"/>
      <c r="F20" s="32">
        <f>980000</f>
        <v>980000</v>
      </c>
      <c r="G20" s="168">
        <f t="shared" si="0"/>
        <v>980000</v>
      </c>
      <c r="H20" s="21"/>
      <c r="I20" s="21"/>
      <c r="J20" s="21"/>
      <c r="K20" s="42"/>
      <c r="L20" s="21">
        <f>F20</f>
        <v>980000</v>
      </c>
      <c r="M20" s="21">
        <f>L20-C20</f>
        <v>980000</v>
      </c>
      <c r="N20" s="21"/>
      <c r="O20" s="23"/>
      <c r="P20" s="23"/>
      <c r="Q20" s="43"/>
    </row>
    <row r="21" spans="1:17" ht="35.25" customHeight="1">
      <c r="A21" s="44" t="s">
        <v>47</v>
      </c>
      <c r="B21" s="45"/>
      <c r="C21" s="45"/>
      <c r="D21" s="45"/>
      <c r="E21" s="45"/>
      <c r="F21" s="20"/>
      <c r="G21" s="20"/>
      <c r="H21" s="21"/>
      <c r="I21" s="21"/>
      <c r="J21" s="21"/>
      <c r="K21" s="21"/>
      <c r="L21" s="46">
        <v>530481.22</v>
      </c>
      <c r="M21" s="21">
        <f>L21-C21</f>
        <v>530481.22</v>
      </c>
      <c r="N21" s="21"/>
      <c r="O21" s="23"/>
      <c r="P21" s="23"/>
      <c r="Q21" s="171"/>
    </row>
    <row r="22" spans="1:17" ht="27" customHeight="1">
      <c r="A22" s="44" t="s">
        <v>48</v>
      </c>
      <c r="B22" s="45">
        <v>192393.13</v>
      </c>
      <c r="C22" s="45">
        <f>B22+56798</f>
        <v>249191.13</v>
      </c>
      <c r="D22" s="45">
        <f>B22+56798+10000</f>
        <v>259191.13</v>
      </c>
      <c r="E22" s="45">
        <f>D22+15000</f>
        <v>274191.13</v>
      </c>
      <c r="F22" s="20">
        <f>E22+19870.62</f>
        <v>294061.75</v>
      </c>
      <c r="G22" s="20">
        <f>F22-B22</f>
        <v>101668.62</v>
      </c>
      <c r="H22" s="21"/>
      <c r="I22" s="21"/>
      <c r="J22" s="21"/>
      <c r="K22" s="42"/>
      <c r="L22" s="46">
        <f>F22+30000</f>
        <v>324061.75</v>
      </c>
      <c r="M22" s="21">
        <f>L22-C22</f>
        <v>74870.62</v>
      </c>
      <c r="N22" s="21"/>
      <c r="O22" s="47">
        <f>O15+P22</f>
        <v>1394029.2496482506</v>
      </c>
      <c r="P22" s="23">
        <f>E22-B22</f>
        <v>81798</v>
      </c>
      <c r="Q22" s="23"/>
    </row>
    <row r="23" spans="1:17" ht="27" customHeight="1">
      <c r="A23" s="44"/>
      <c r="B23" s="45"/>
      <c r="C23" s="45"/>
      <c r="D23" s="45"/>
      <c r="E23" s="45"/>
      <c r="F23" s="20"/>
      <c r="G23" s="20"/>
      <c r="H23" s="21"/>
      <c r="I23" s="21"/>
      <c r="J23" s="21"/>
      <c r="K23" s="21"/>
      <c r="L23" s="21"/>
      <c r="M23" s="21"/>
      <c r="N23" s="21"/>
      <c r="O23" s="47"/>
      <c r="P23" s="23"/>
      <c r="Q23" s="23"/>
    </row>
    <row r="24" spans="1:17" ht="21" customHeight="1">
      <c r="A24" s="44" t="s">
        <v>49</v>
      </c>
      <c r="B24" s="45">
        <f>SUM(B5:B23)</f>
        <v>7524654.75</v>
      </c>
      <c r="C24" s="45">
        <f>SUM(C5:C23)</f>
        <v>9567647.030000001</v>
      </c>
      <c r="D24" s="45">
        <f>SUM(D5:D23)-D8</f>
        <v>10802674.25892174</v>
      </c>
      <c r="E24" s="45">
        <f>SUM(E5:E23)-E17-E8</f>
        <v>12212888.174459001</v>
      </c>
      <c r="F24" s="20">
        <f>SUM(F5:F23)-F8-F17</f>
        <v>13212758.794459</v>
      </c>
      <c r="G24" s="20">
        <f aca="true" t="shared" si="5" ref="G24:G30">F24-B24</f>
        <v>5688104.044459</v>
      </c>
      <c r="H24" s="21"/>
      <c r="I24" s="21"/>
      <c r="J24" s="21"/>
      <c r="K24" s="48"/>
      <c r="L24" s="46">
        <f>SUM(L5:L23)</f>
        <v>13773240.014459</v>
      </c>
      <c r="M24" s="21">
        <f aca="true" t="shared" si="6" ref="M24:M29">L24-C24</f>
        <v>4205592.984459</v>
      </c>
      <c r="N24" s="21"/>
      <c r="O24" s="49"/>
      <c r="P24" s="49"/>
      <c r="Q24" s="50"/>
    </row>
    <row r="25" spans="1:19" s="54" customFormat="1" ht="30" customHeight="1">
      <c r="A25" s="51" t="s">
        <v>50</v>
      </c>
      <c r="B25" s="45">
        <v>192393.13</v>
      </c>
      <c r="C25" s="45">
        <f>C22</f>
        <v>249191.13</v>
      </c>
      <c r="D25" s="45">
        <f>D22</f>
        <v>259191.13</v>
      </c>
      <c r="E25" s="45">
        <f>E22</f>
        <v>274191.13</v>
      </c>
      <c r="F25" s="45">
        <f>F22</f>
        <v>294061.75</v>
      </c>
      <c r="G25" s="20">
        <f t="shared" si="5"/>
        <v>101668.62</v>
      </c>
      <c r="H25" s="21"/>
      <c r="I25" s="21"/>
      <c r="J25" s="21"/>
      <c r="K25" s="22"/>
      <c r="L25" s="22">
        <f>L22</f>
        <v>324061.75</v>
      </c>
      <c r="M25" s="21">
        <f t="shared" si="6"/>
        <v>74870.62</v>
      </c>
      <c r="N25" s="21"/>
      <c r="O25" s="52"/>
      <c r="P25" s="53"/>
      <c r="Q25" s="52"/>
      <c r="S25" s="55"/>
    </row>
    <row r="26" spans="1:19" s="54" customFormat="1" ht="15" customHeight="1">
      <c r="A26" s="51" t="s">
        <v>51</v>
      </c>
      <c r="B26" s="45">
        <v>17828.42</v>
      </c>
      <c r="C26" s="45">
        <v>20000</v>
      </c>
      <c r="D26" s="45">
        <v>20000</v>
      </c>
      <c r="E26" s="45">
        <v>20000</v>
      </c>
      <c r="F26" s="45">
        <v>20000</v>
      </c>
      <c r="G26" s="20">
        <f t="shared" si="5"/>
        <v>2171.5800000000017</v>
      </c>
      <c r="H26" s="21"/>
      <c r="I26" s="21"/>
      <c r="J26" s="21"/>
      <c r="K26" s="56"/>
      <c r="L26" s="56">
        <v>20000</v>
      </c>
      <c r="M26" s="57">
        <f t="shared" si="6"/>
        <v>0</v>
      </c>
      <c r="N26" s="21"/>
      <c r="O26" s="52"/>
      <c r="P26" s="53"/>
      <c r="Q26" s="52"/>
      <c r="S26" s="55"/>
    </row>
    <row r="27" spans="1:19" s="54" customFormat="1" ht="22.5" customHeight="1">
      <c r="A27" s="51" t="s">
        <v>52</v>
      </c>
      <c r="B27" s="45">
        <v>1011328.22</v>
      </c>
      <c r="C27" s="45">
        <v>1500000</v>
      </c>
      <c r="D27" s="45">
        <v>1500000</v>
      </c>
      <c r="E27" s="45">
        <v>1500000</v>
      </c>
      <c r="F27" s="45">
        <v>1500000</v>
      </c>
      <c r="G27" s="20">
        <f t="shared" si="5"/>
        <v>488671.78</v>
      </c>
      <c r="H27" s="21"/>
      <c r="I27" s="21"/>
      <c r="J27" s="21"/>
      <c r="K27" s="58"/>
      <c r="L27" s="58">
        <v>1500000</v>
      </c>
      <c r="M27" s="57">
        <f t="shared" si="6"/>
        <v>0</v>
      </c>
      <c r="N27" s="21"/>
      <c r="O27" s="52"/>
      <c r="P27" s="53"/>
      <c r="Q27" s="53"/>
      <c r="S27" s="55"/>
    </row>
    <row r="28" spans="1:19" s="54" customFormat="1" ht="22.5" customHeight="1">
      <c r="A28" s="59" t="s">
        <v>53</v>
      </c>
      <c r="B28" s="60">
        <f>B24-B25</f>
        <v>7332261.62</v>
      </c>
      <c r="C28" s="60"/>
      <c r="D28" s="60">
        <f>D24-D25</f>
        <v>10543483.12892174</v>
      </c>
      <c r="E28" s="60">
        <f>E24-E25</f>
        <v>11938697.044459</v>
      </c>
      <c r="F28" s="60">
        <f>F24-F25</f>
        <v>12918697.044459</v>
      </c>
      <c r="G28" s="20">
        <f t="shared" si="5"/>
        <v>5586435.424459</v>
      </c>
      <c r="H28" s="21"/>
      <c r="I28" s="21"/>
      <c r="J28" s="21"/>
      <c r="K28" s="61"/>
      <c r="L28" s="61">
        <f>L24-L25</f>
        <v>13449178.264459</v>
      </c>
      <c r="M28" s="21">
        <f t="shared" si="6"/>
        <v>13449178.264459</v>
      </c>
      <c r="N28" s="21"/>
      <c r="O28" s="52"/>
      <c r="P28" s="53"/>
      <c r="Q28" s="53"/>
      <c r="S28" s="55"/>
    </row>
    <row r="29" spans="1:19" s="54" customFormat="1" ht="45" customHeight="1">
      <c r="A29" s="44" t="s">
        <v>54</v>
      </c>
      <c r="B29" s="45">
        <f>0.33932382*B28</f>
        <v>2488011.0221377886</v>
      </c>
      <c r="C29" s="45">
        <f>C7-C36</f>
        <v>559505.8800000001</v>
      </c>
      <c r="D29" s="45">
        <f>(D5+D6+D8)*0.33932382+$C$29</f>
        <v>3463197.821059527</v>
      </c>
      <c r="E29" s="45">
        <f>(E5+E6+E17+E8)*0.33932382+$C$29</f>
        <v>3936627.1365967887</v>
      </c>
      <c r="F29" s="20">
        <f>(F5+F6+F8+F17+F20)*0.33932382+C29</f>
        <v>4269164.480196788</v>
      </c>
      <c r="G29" s="20">
        <f t="shared" si="5"/>
        <v>1781153.4580589994</v>
      </c>
      <c r="H29" s="21"/>
      <c r="I29" s="21"/>
      <c r="J29" s="21"/>
      <c r="K29" s="49"/>
      <c r="L29" s="49">
        <f>0.33932382*L28</f>
        <v>4563626.544557198</v>
      </c>
      <c r="M29" s="21">
        <f t="shared" si="6"/>
        <v>4004120.664557198</v>
      </c>
      <c r="N29" s="21"/>
      <c r="O29" s="52"/>
      <c r="P29" s="53"/>
      <c r="Q29" s="53"/>
      <c r="S29" s="55"/>
    </row>
    <row r="30" spans="1:19" s="54" customFormat="1" ht="31.5" customHeight="1">
      <c r="A30" s="44" t="s">
        <v>55</v>
      </c>
      <c r="B30" s="62">
        <f>B24-B29</f>
        <v>5036643.727862211</v>
      </c>
      <c r="C30" s="62">
        <f>B30+C31</f>
        <v>6520130.127862211</v>
      </c>
      <c r="D30" s="63">
        <f>D24-D29</f>
        <v>7339476.437862214</v>
      </c>
      <c r="E30" s="36">
        <f>E24-E29</f>
        <v>8276261.037862212</v>
      </c>
      <c r="F30" s="32">
        <f>F24-F29</f>
        <v>8943594.314262211</v>
      </c>
      <c r="G30" s="20">
        <f t="shared" si="5"/>
        <v>3906950.5864000004</v>
      </c>
      <c r="H30" s="21"/>
      <c r="I30" s="21"/>
      <c r="J30" s="21"/>
      <c r="K30" s="48"/>
      <c r="L30" s="46">
        <f>L24-L29</f>
        <v>9209613.469901804</v>
      </c>
      <c r="M30" s="42">
        <f>F30-C30</f>
        <v>2423464.1864</v>
      </c>
      <c r="N30" s="21"/>
      <c r="O30" s="49"/>
      <c r="P30" s="49">
        <f>B30-O30</f>
        <v>5036643.727862211</v>
      </c>
      <c r="Q30" s="172"/>
      <c r="S30" s="55"/>
    </row>
    <row r="31" spans="1:19" s="54" customFormat="1" ht="31.5" customHeight="1">
      <c r="A31" s="44" t="s">
        <v>56</v>
      </c>
      <c r="B31" s="62"/>
      <c r="C31" s="62">
        <f>C37</f>
        <v>1483486.4</v>
      </c>
      <c r="D31" s="63">
        <f>D37+C31</f>
        <v>2302832.7100000023</v>
      </c>
      <c r="E31" s="36">
        <f>E37+D31</f>
        <v>3239617.310000001</v>
      </c>
      <c r="F31" s="32">
        <f>F34+E31</f>
        <v>3906950.5864</v>
      </c>
      <c r="G31" s="20"/>
      <c r="H31" s="21"/>
      <c r="I31" s="21"/>
      <c r="J31" s="21"/>
      <c r="K31" s="48"/>
      <c r="L31" s="46"/>
      <c r="M31" s="42"/>
      <c r="N31" s="21"/>
      <c r="O31" s="49"/>
      <c r="P31" s="49"/>
      <c r="Q31"/>
      <c r="S31" s="55"/>
    </row>
    <row r="32" spans="1:19" s="54" customFormat="1" ht="31.5" customHeight="1">
      <c r="A32" s="44" t="s">
        <v>57</v>
      </c>
      <c r="B32" s="62">
        <f>B30</f>
        <v>5036643.727862211</v>
      </c>
      <c r="C32" s="62"/>
      <c r="D32" s="63"/>
      <c r="E32" s="36"/>
      <c r="F32" s="32"/>
      <c r="G32" s="20"/>
      <c r="H32" s="21">
        <v>3879246.7116</v>
      </c>
      <c r="I32" s="21">
        <v>1157397.0184</v>
      </c>
      <c r="J32" s="21"/>
      <c r="K32" s="48"/>
      <c r="L32" s="46"/>
      <c r="M32" s="42"/>
      <c r="N32" s="21"/>
      <c r="O32" s="49"/>
      <c r="P32" s="49"/>
      <c r="Q32" s="64" t="s">
        <v>58</v>
      </c>
      <c r="S32" s="55"/>
    </row>
    <row r="33" spans="1:19" s="54" customFormat="1" ht="31.5" customHeight="1">
      <c r="A33" s="44" t="s">
        <v>57</v>
      </c>
      <c r="B33" s="62"/>
      <c r="C33" s="62">
        <f>C31</f>
        <v>1483486.4</v>
      </c>
      <c r="D33" s="63">
        <f>D31</f>
        <v>2302832.7100000023</v>
      </c>
      <c r="E33" s="36">
        <f>E31</f>
        <v>3239617.310000001</v>
      </c>
      <c r="F33" s="32"/>
      <c r="G33" s="20"/>
      <c r="H33" s="21"/>
      <c r="I33" s="21">
        <f>3239617.31</f>
        <v>3239617.31</v>
      </c>
      <c r="J33" s="21"/>
      <c r="K33" s="48"/>
      <c r="L33" s="46"/>
      <c r="M33" s="42"/>
      <c r="N33" s="21"/>
      <c r="O33" s="49"/>
      <c r="P33" s="49"/>
      <c r="Q33" s="65" t="s">
        <v>173</v>
      </c>
      <c r="S33" s="55"/>
    </row>
    <row r="34" spans="1:19" s="54" customFormat="1" ht="31.5" customHeight="1">
      <c r="A34" s="44" t="s">
        <v>59</v>
      </c>
      <c r="B34" s="62"/>
      <c r="C34" s="62"/>
      <c r="D34" s="63"/>
      <c r="E34" s="36"/>
      <c r="F34" s="32">
        <f>F30-E30</f>
        <v>667333.2763999989</v>
      </c>
      <c r="G34" s="20"/>
      <c r="H34" s="21"/>
      <c r="I34" s="21">
        <v>667333.28</v>
      </c>
      <c r="J34" s="21"/>
      <c r="K34" s="48"/>
      <c r="L34" s="46"/>
      <c r="M34" s="42"/>
      <c r="N34" s="21"/>
      <c r="O34" s="49"/>
      <c r="P34" s="49"/>
      <c r="Q34" s="181" t="s">
        <v>60</v>
      </c>
      <c r="S34" s="55"/>
    </row>
    <row r="35" spans="1:19" s="54" customFormat="1" ht="31.5" customHeight="1">
      <c r="A35" s="66" t="s">
        <v>61</v>
      </c>
      <c r="B35" s="62">
        <f>B22</f>
        <v>192393.13</v>
      </c>
      <c r="C35" s="62">
        <f>C22-B22</f>
        <v>56798</v>
      </c>
      <c r="D35" s="63">
        <f>D22-C22</f>
        <v>10000</v>
      </c>
      <c r="E35" s="36">
        <f>E22-D22</f>
        <v>15000</v>
      </c>
      <c r="F35" s="32">
        <f>F22-E22</f>
        <v>19870.619999999995</v>
      </c>
      <c r="G35" s="20"/>
      <c r="H35" s="49"/>
      <c r="I35" s="21"/>
      <c r="J35" s="21"/>
      <c r="K35" s="48"/>
      <c r="L35" s="46"/>
      <c r="M35" s="42"/>
      <c r="N35" s="21"/>
      <c r="O35" s="49"/>
      <c r="P35" s="49"/>
      <c r="Q35" s="64"/>
      <c r="S35" s="55"/>
    </row>
    <row r="36" spans="1:19" s="54" customFormat="1" ht="31.5" customHeight="1">
      <c r="A36" s="66" t="s">
        <v>62</v>
      </c>
      <c r="B36" s="62">
        <f>B37-B35</f>
        <v>4844250.597862211</v>
      </c>
      <c r="C36" s="62">
        <f>C37-C35</f>
        <v>1426688.4</v>
      </c>
      <c r="D36" s="63">
        <f>D37-D35</f>
        <v>809346.3100000024</v>
      </c>
      <c r="E36" s="36">
        <f>E37-E35</f>
        <v>921784.5999999987</v>
      </c>
      <c r="F36" s="32">
        <f>F37-F35</f>
        <v>647462.6563999989</v>
      </c>
      <c r="G36" s="20"/>
      <c r="H36" s="49"/>
      <c r="I36" s="21"/>
      <c r="J36" s="21"/>
      <c r="K36" s="48"/>
      <c r="L36" s="46"/>
      <c r="M36" s="42"/>
      <c r="N36" s="21"/>
      <c r="O36" s="49"/>
      <c r="P36" s="49"/>
      <c r="Q36" s="64"/>
      <c r="R36" s="182">
        <f>I33+G87</f>
        <v>3952333.1182000004</v>
      </c>
      <c r="S36" s="55"/>
    </row>
    <row r="37" spans="1:19" s="54" customFormat="1" ht="22.5" customHeight="1">
      <c r="A37" s="67" t="s">
        <v>63</v>
      </c>
      <c r="B37" s="62">
        <f>B30</f>
        <v>5036643.727862211</v>
      </c>
      <c r="C37" s="62">
        <f>1480904.66+2581.74</f>
        <v>1483486.4</v>
      </c>
      <c r="D37" s="63">
        <f>D30-C30</f>
        <v>819346.3100000024</v>
      </c>
      <c r="E37" s="36">
        <f>E30-D30</f>
        <v>936784.5999999987</v>
      </c>
      <c r="F37" s="32">
        <f>F30-E30</f>
        <v>667333.2763999989</v>
      </c>
      <c r="G37" s="20"/>
      <c r="H37"/>
      <c r="I37" s="49"/>
      <c r="J37" s="49"/>
      <c r="K37" s="48"/>
      <c r="L37" s="46">
        <f>L30-C30</f>
        <v>2689483.3420395926</v>
      </c>
      <c r="M37" s="68">
        <f>M30/C30</f>
        <v>0.3716895428273598</v>
      </c>
      <c r="N37" s="21"/>
      <c r="O37" s="52"/>
      <c r="P37" s="53"/>
      <c r="Q37" s="53"/>
      <c r="R37" s="32"/>
      <c r="S37" s="55"/>
    </row>
    <row r="38" spans="1:19" s="54" customFormat="1" ht="36" customHeight="1">
      <c r="A38" s="69" t="s">
        <v>64</v>
      </c>
      <c r="B38" s="70"/>
      <c r="C38" s="71" t="s">
        <v>65</v>
      </c>
      <c r="D38" s="72">
        <f>D37/C30</f>
        <v>0.1256641039261966</v>
      </c>
      <c r="E38" s="73">
        <f>E37/C30</f>
        <v>0.14367575211373076</v>
      </c>
      <c r="F38" s="74">
        <f>F37/C30</f>
        <v>0.1023496867874324</v>
      </c>
      <c r="G38" s="20"/>
      <c r="H38" s="75"/>
      <c r="I38" s="75"/>
      <c r="J38" s="75"/>
      <c r="K38" s="76"/>
      <c r="L38" s="77">
        <f>L37/C30</f>
        <v>0.4124892125307026</v>
      </c>
      <c r="M38" s="68"/>
      <c r="N38" s="21"/>
      <c r="O38" s="52"/>
      <c r="P38" s="53"/>
      <c r="Q38" s="53"/>
      <c r="S38" s="55"/>
    </row>
    <row r="39" spans="1:19" s="54" customFormat="1" ht="22.5" customHeight="1">
      <c r="A39" s="69" t="s">
        <v>66</v>
      </c>
      <c r="B39" s="78"/>
      <c r="C39" s="70"/>
      <c r="D39" s="72"/>
      <c r="E39" s="73">
        <f>(E30-C30)/B30</f>
        <v>0.34867086196414093</v>
      </c>
      <c r="F39" s="74">
        <f>(F30-C30)/B30</f>
        <v>0.4811664904931905</v>
      </c>
      <c r="G39" s="79"/>
      <c r="H39" s="75"/>
      <c r="I39" s="75"/>
      <c r="J39" s="75"/>
      <c r="K39" s="76"/>
      <c r="L39" s="77"/>
      <c r="M39" s="68"/>
      <c r="N39" s="21"/>
      <c r="O39" s="52"/>
      <c r="P39" s="53"/>
      <c r="Q39" s="53"/>
      <c r="S39" s="55"/>
    </row>
    <row r="40" spans="1:19" s="54" customFormat="1" ht="22.5" customHeight="1">
      <c r="A40" s="80" t="s">
        <v>67</v>
      </c>
      <c r="B40" s="169"/>
      <c r="C40" s="20"/>
      <c r="D40" s="20"/>
      <c r="E40" s="20"/>
      <c r="F40" s="20"/>
      <c r="G40" s="20"/>
      <c r="H40" s="81"/>
      <c r="I40" s="81"/>
      <c r="J40" s="81"/>
      <c r="K40"/>
      <c r="L40"/>
      <c r="M40" s="21"/>
      <c r="N40" s="21"/>
      <c r="O40" s="52"/>
      <c r="P40" s="53"/>
      <c r="Q40" s="53"/>
      <c r="S40" s="55"/>
    </row>
    <row r="41" spans="1:19" s="54" customFormat="1" ht="30.75" customHeight="1">
      <c r="A41" s="82" t="s">
        <v>68</v>
      </c>
      <c r="B41" s="45">
        <v>2492450.58</v>
      </c>
      <c r="C41" s="45"/>
      <c r="D41" s="45"/>
      <c r="E41" s="45"/>
      <c r="F41" s="45"/>
      <c r="G41" s="20">
        <f aca="true" t="shared" si="7" ref="G41:G56">F41-B41</f>
        <v>-2492450.58</v>
      </c>
      <c r="H41" s="21"/>
      <c r="I41" s="21">
        <f>F41-H41</f>
        <v>0</v>
      </c>
      <c r="J41" s="21"/>
      <c r="K41" s="22"/>
      <c r="L41" s="22"/>
      <c r="M41" s="21">
        <f aca="true" t="shared" si="8" ref="M41:M46">L41-C41</f>
        <v>0</v>
      </c>
      <c r="N41" s="21"/>
      <c r="O41" s="22">
        <f>B41*0.6</f>
        <v>1495470.3480000002</v>
      </c>
      <c r="P41" s="22">
        <f>B41-O41</f>
        <v>996980.2319999998</v>
      </c>
      <c r="Q41" s="53"/>
      <c r="S41" s="55"/>
    </row>
    <row r="42" spans="1:19" s="54" customFormat="1" ht="30.75" customHeight="1">
      <c r="A42" s="82" t="s">
        <v>69</v>
      </c>
      <c r="B42" s="45">
        <v>55161.48</v>
      </c>
      <c r="C42" s="45">
        <v>55161.48</v>
      </c>
      <c r="D42" s="45">
        <v>55161.48</v>
      </c>
      <c r="E42" s="45"/>
      <c r="F42" s="45">
        <v>0</v>
      </c>
      <c r="G42" s="20">
        <f t="shared" si="7"/>
        <v>-55161.48</v>
      </c>
      <c r="H42" s="21"/>
      <c r="I42" s="21">
        <f aca="true" t="shared" si="9" ref="I42:I86">F42-H42</f>
        <v>0</v>
      </c>
      <c r="J42" s="21"/>
      <c r="K42" s="22"/>
      <c r="L42" s="22">
        <v>0</v>
      </c>
      <c r="M42" s="21">
        <f t="shared" si="8"/>
        <v>-55161.48</v>
      </c>
      <c r="N42" s="21"/>
      <c r="O42" s="22">
        <f>B42*0.5</f>
        <v>27580.74</v>
      </c>
      <c r="P42" s="22">
        <f>B42-O42-0.01</f>
        <v>27580.730000000003</v>
      </c>
      <c r="Q42" s="53"/>
      <c r="S42" s="55"/>
    </row>
    <row r="43" spans="1:19" s="54" customFormat="1" ht="22.5" customHeight="1">
      <c r="A43" s="82" t="s">
        <v>70</v>
      </c>
      <c r="B43" s="45">
        <v>109800</v>
      </c>
      <c r="C43" s="45">
        <v>109800</v>
      </c>
      <c r="D43" s="45">
        <v>109800</v>
      </c>
      <c r="E43" s="45">
        <v>109800</v>
      </c>
      <c r="F43" s="45">
        <f>E43</f>
        <v>109800</v>
      </c>
      <c r="G43" s="20">
        <f t="shared" si="7"/>
        <v>0</v>
      </c>
      <c r="H43" s="21"/>
      <c r="I43" s="21">
        <f t="shared" si="9"/>
        <v>109800</v>
      </c>
      <c r="J43" s="21"/>
      <c r="K43" s="22"/>
      <c r="L43" s="22">
        <v>0</v>
      </c>
      <c r="M43" s="21">
        <f t="shared" si="8"/>
        <v>-109800</v>
      </c>
      <c r="N43" s="21"/>
      <c r="O43" s="22">
        <f>B43*0.5</f>
        <v>54900</v>
      </c>
      <c r="P43" s="22">
        <f>B43-O43</f>
        <v>54900</v>
      </c>
      <c r="Q43" s="23" t="s">
        <v>71</v>
      </c>
      <c r="S43" s="55"/>
    </row>
    <row r="44" spans="1:19" s="54" customFormat="1" ht="22.5" customHeight="1">
      <c r="A44" s="82" t="s">
        <v>72</v>
      </c>
      <c r="B44" s="45">
        <v>610000</v>
      </c>
      <c r="C44" s="45">
        <v>610000</v>
      </c>
      <c r="D44" s="45">
        <v>610000</v>
      </c>
      <c r="E44" s="45">
        <v>610000</v>
      </c>
      <c r="F44" s="45">
        <v>610000</v>
      </c>
      <c r="G44" s="20">
        <f t="shared" si="7"/>
        <v>0</v>
      </c>
      <c r="H44" s="21"/>
      <c r="I44" s="21">
        <f t="shared" si="9"/>
        <v>610000</v>
      </c>
      <c r="J44" s="21"/>
      <c r="K44" s="22"/>
      <c r="L44" s="22">
        <v>610000</v>
      </c>
      <c r="M44" s="21">
        <f t="shared" si="8"/>
        <v>0</v>
      </c>
      <c r="N44" s="21"/>
      <c r="O44" s="22">
        <f>B44*0.5</f>
        <v>305000</v>
      </c>
      <c r="P44" s="22">
        <f>B44-O44</f>
        <v>305000</v>
      </c>
      <c r="Q44" s="23" t="s">
        <v>71</v>
      </c>
      <c r="S44" s="55"/>
    </row>
    <row r="45" spans="1:19" s="54" customFormat="1" ht="22.5" customHeight="1">
      <c r="A45" s="82" t="s">
        <v>73</v>
      </c>
      <c r="B45" s="45">
        <v>488000</v>
      </c>
      <c r="C45" s="45">
        <v>488000</v>
      </c>
      <c r="D45" s="45">
        <v>488000</v>
      </c>
      <c r="E45" s="45">
        <v>488000</v>
      </c>
      <c r="F45" s="45">
        <v>488000</v>
      </c>
      <c r="G45" s="20">
        <f t="shared" si="7"/>
        <v>0</v>
      </c>
      <c r="H45" s="21"/>
      <c r="I45" s="21">
        <f t="shared" si="9"/>
        <v>488000</v>
      </c>
      <c r="J45" s="21"/>
      <c r="K45" s="22"/>
      <c r="L45" s="83">
        <v>352380.75</v>
      </c>
      <c r="M45" s="21">
        <f t="shared" si="8"/>
        <v>-135619.25</v>
      </c>
      <c r="N45" s="21"/>
      <c r="O45" s="22">
        <f>B45*0.5</f>
        <v>244000</v>
      </c>
      <c r="P45" s="22">
        <f>B45-O45</f>
        <v>244000</v>
      </c>
      <c r="Q45" s="23" t="s">
        <v>71</v>
      </c>
      <c r="S45" s="55"/>
    </row>
    <row r="46" spans="1:19" s="54" customFormat="1" ht="22.5" customHeight="1">
      <c r="A46" s="82" t="s">
        <v>74</v>
      </c>
      <c r="B46" s="45">
        <v>48800</v>
      </c>
      <c r="C46" s="45">
        <v>48800</v>
      </c>
      <c r="D46" s="45">
        <v>48800</v>
      </c>
      <c r="E46" s="45">
        <v>48800</v>
      </c>
      <c r="F46" s="45">
        <v>48800</v>
      </c>
      <c r="G46" s="20">
        <f t="shared" si="7"/>
        <v>0</v>
      </c>
      <c r="H46" s="21"/>
      <c r="I46" s="21">
        <f t="shared" si="9"/>
        <v>48800</v>
      </c>
      <c r="J46" s="21"/>
      <c r="K46" s="22"/>
      <c r="L46" s="83">
        <v>10000</v>
      </c>
      <c r="M46" s="21">
        <f t="shared" si="8"/>
        <v>-38800</v>
      </c>
      <c r="N46" s="21"/>
      <c r="O46" s="22">
        <f>B46*0.5</f>
        <v>24400</v>
      </c>
      <c r="P46" s="22">
        <f>B46-O46</f>
        <v>24400</v>
      </c>
      <c r="Q46" s="23" t="s">
        <v>71</v>
      </c>
      <c r="S46" s="55"/>
    </row>
    <row r="47" spans="1:19" s="54" customFormat="1" ht="22.5" customHeight="1">
      <c r="A47" s="82" t="s">
        <v>75</v>
      </c>
      <c r="B47" s="45"/>
      <c r="C47" s="45"/>
      <c r="D47" s="45"/>
      <c r="E47" s="45"/>
      <c r="F47" s="41">
        <v>22143.85</v>
      </c>
      <c r="G47" s="20">
        <f t="shared" si="7"/>
        <v>22143.85</v>
      </c>
      <c r="H47" s="21"/>
      <c r="I47" s="21">
        <f t="shared" si="9"/>
        <v>22143.85</v>
      </c>
      <c r="J47" s="21"/>
      <c r="K47" s="22"/>
      <c r="L47" s="22">
        <f>F47</f>
        <v>22143.85</v>
      </c>
      <c r="M47" s="21"/>
      <c r="N47" s="21"/>
      <c r="O47" s="22"/>
      <c r="P47" s="22"/>
      <c r="Q47" s="181" t="s">
        <v>60</v>
      </c>
      <c r="S47" s="55"/>
    </row>
    <row r="48" spans="1:19" s="54" customFormat="1" ht="22.5" customHeight="1">
      <c r="A48" s="82" t="s">
        <v>76</v>
      </c>
      <c r="B48" s="45">
        <v>24400</v>
      </c>
      <c r="C48" s="45">
        <v>24400</v>
      </c>
      <c r="D48" s="45">
        <v>24400</v>
      </c>
      <c r="E48" s="45">
        <v>24400</v>
      </c>
      <c r="F48" s="45">
        <v>24400</v>
      </c>
      <c r="G48" s="20">
        <f t="shared" si="7"/>
        <v>0</v>
      </c>
      <c r="H48" s="21"/>
      <c r="I48" s="21">
        <f t="shared" si="9"/>
        <v>24400</v>
      </c>
      <c r="J48" s="21"/>
      <c r="K48" s="22"/>
      <c r="L48" s="22">
        <f>F48</f>
        <v>24400</v>
      </c>
      <c r="M48" s="21">
        <f>L48-C48</f>
        <v>0</v>
      </c>
      <c r="N48" s="21"/>
      <c r="O48" s="22">
        <f>B48*0.5</f>
        <v>12200</v>
      </c>
      <c r="P48" s="22">
        <f>B48-O48</f>
        <v>12200</v>
      </c>
      <c r="Q48" s="23" t="s">
        <v>71</v>
      </c>
      <c r="S48" s="55"/>
    </row>
    <row r="49" spans="1:19" s="54" customFormat="1" ht="22.5" customHeight="1">
      <c r="A49" s="82" t="s">
        <v>77</v>
      </c>
      <c r="B49" s="45"/>
      <c r="C49" s="45"/>
      <c r="D49" s="45"/>
      <c r="E49" s="45"/>
      <c r="F49" s="41">
        <v>10000</v>
      </c>
      <c r="G49" s="20">
        <f t="shared" si="7"/>
        <v>10000</v>
      </c>
      <c r="H49" s="21"/>
      <c r="I49" s="21">
        <f t="shared" si="9"/>
        <v>10000</v>
      </c>
      <c r="J49" s="21"/>
      <c r="K49" s="22"/>
      <c r="L49" s="22">
        <f>F49</f>
        <v>10000</v>
      </c>
      <c r="M49" s="21"/>
      <c r="N49" s="21"/>
      <c r="O49" s="22"/>
      <c r="P49" s="22"/>
      <c r="Q49" s="181" t="s">
        <v>60</v>
      </c>
      <c r="S49" s="55"/>
    </row>
    <row r="50" spans="1:17" ht="22.5" customHeight="1">
      <c r="A50" s="82" t="s">
        <v>78</v>
      </c>
      <c r="B50" s="45">
        <v>1224541.08</v>
      </c>
      <c r="C50" s="45">
        <v>1907138.25</v>
      </c>
      <c r="D50" s="45">
        <v>907535.75</v>
      </c>
      <c r="E50" s="45">
        <v>60501.81</v>
      </c>
      <c r="F50" s="45">
        <f>E50</f>
        <v>60501.81</v>
      </c>
      <c r="G50" s="20">
        <f t="shared" si="7"/>
        <v>-1164039.27</v>
      </c>
      <c r="H50" s="21"/>
      <c r="I50" s="21">
        <f t="shared" si="9"/>
        <v>60501.81</v>
      </c>
      <c r="J50" s="21"/>
      <c r="K50" s="22"/>
      <c r="L50" s="83">
        <v>0</v>
      </c>
      <c r="M50" s="21">
        <f>L50-C50</f>
        <v>-1907138.25</v>
      </c>
      <c r="N50" s="21"/>
      <c r="O50" s="22">
        <v>192691.46</v>
      </c>
      <c r="P50" s="22">
        <f>B50-O50</f>
        <v>1031849.6200000001</v>
      </c>
      <c r="Q50" s="23" t="s">
        <v>71</v>
      </c>
    </row>
    <row r="51" spans="1:17" ht="22.5" customHeight="1">
      <c r="A51" s="82" t="s">
        <v>79</v>
      </c>
      <c r="B51" s="45"/>
      <c r="C51" s="45"/>
      <c r="D51" s="45"/>
      <c r="E51" s="45"/>
      <c r="F51" s="41">
        <v>13834.31</v>
      </c>
      <c r="G51" s="20">
        <f t="shared" si="7"/>
        <v>13834.31</v>
      </c>
      <c r="H51" s="21"/>
      <c r="I51" s="21">
        <f t="shared" si="9"/>
        <v>13834.31</v>
      </c>
      <c r="J51" s="21"/>
      <c r="K51" s="22"/>
      <c r="L51" s="22">
        <f>F51</f>
        <v>13834.31</v>
      </c>
      <c r="M51" s="21"/>
      <c r="N51" s="21"/>
      <c r="O51" s="22"/>
      <c r="P51" s="22"/>
      <c r="Q51" s="181" t="s">
        <v>60</v>
      </c>
    </row>
    <row r="52" spans="1:17" ht="35.25" customHeight="1">
      <c r="A52" s="82" t="s">
        <v>80</v>
      </c>
      <c r="B52" s="45">
        <v>184800.78</v>
      </c>
      <c r="C52" s="45">
        <v>184800.78</v>
      </c>
      <c r="D52" s="45">
        <v>184800.78</v>
      </c>
      <c r="E52" s="45">
        <v>184800.78</v>
      </c>
      <c r="F52" s="45">
        <v>184800.78</v>
      </c>
      <c r="G52" s="20">
        <f t="shared" si="7"/>
        <v>0</v>
      </c>
      <c r="H52" s="21"/>
      <c r="I52" s="21">
        <f t="shared" si="9"/>
        <v>184800.78</v>
      </c>
      <c r="J52" s="21"/>
      <c r="K52" s="22"/>
      <c r="L52" s="22">
        <v>184800.78</v>
      </c>
      <c r="M52" s="21">
        <f>L52-C52</f>
        <v>0</v>
      </c>
      <c r="N52" s="21"/>
      <c r="O52" s="22">
        <f>B52-160937.08</f>
        <v>23863.70000000001</v>
      </c>
      <c r="P52" s="22">
        <f>B52-O52</f>
        <v>160937.08</v>
      </c>
      <c r="Q52" s="23" t="s">
        <v>71</v>
      </c>
    </row>
    <row r="53" spans="1:17" ht="35.25" customHeight="1">
      <c r="A53" s="82" t="s">
        <v>81</v>
      </c>
      <c r="B53" s="45"/>
      <c r="C53" s="45"/>
      <c r="D53" s="45"/>
      <c r="E53" s="45">
        <v>15000</v>
      </c>
      <c r="F53" s="45">
        <f>E53</f>
        <v>15000</v>
      </c>
      <c r="G53" s="20">
        <f t="shared" si="7"/>
        <v>15000</v>
      </c>
      <c r="H53" s="21"/>
      <c r="I53" s="21">
        <f t="shared" si="9"/>
        <v>15000</v>
      </c>
      <c r="J53" s="21"/>
      <c r="K53" s="22"/>
      <c r="L53" s="22">
        <f>F53</f>
        <v>15000</v>
      </c>
      <c r="M53" s="21"/>
      <c r="N53" s="21"/>
      <c r="O53" s="22"/>
      <c r="P53" s="22"/>
      <c r="Q53" s="23" t="s">
        <v>71</v>
      </c>
    </row>
    <row r="54" spans="1:17" ht="35.25" customHeight="1">
      <c r="A54" s="82" t="s">
        <v>82</v>
      </c>
      <c r="B54" s="45"/>
      <c r="C54" s="45"/>
      <c r="D54" s="45"/>
      <c r="E54" s="45">
        <v>17000</v>
      </c>
      <c r="F54" s="45">
        <f>E54</f>
        <v>17000</v>
      </c>
      <c r="G54" s="20">
        <f t="shared" si="7"/>
        <v>17000</v>
      </c>
      <c r="H54" s="21"/>
      <c r="I54" s="21">
        <f t="shared" si="9"/>
        <v>17000</v>
      </c>
      <c r="J54" s="21"/>
      <c r="K54" s="22"/>
      <c r="L54" s="22"/>
      <c r="M54" s="21"/>
      <c r="N54" s="21"/>
      <c r="O54" s="22"/>
      <c r="P54" s="22"/>
      <c r="Q54" s="23" t="s">
        <v>71</v>
      </c>
    </row>
    <row r="55" spans="1:17" ht="35.25" customHeight="1">
      <c r="A55" s="82" t="s">
        <v>83</v>
      </c>
      <c r="B55" s="45"/>
      <c r="C55" s="45"/>
      <c r="D55" s="45"/>
      <c r="E55" s="45"/>
      <c r="F55" s="41">
        <v>20000</v>
      </c>
      <c r="G55" s="20">
        <f t="shared" si="7"/>
        <v>20000</v>
      </c>
      <c r="H55" s="21"/>
      <c r="I55" s="21">
        <f t="shared" si="9"/>
        <v>20000</v>
      </c>
      <c r="J55" s="21"/>
      <c r="K55" s="22"/>
      <c r="L55" s="22">
        <f>F55</f>
        <v>20000</v>
      </c>
      <c r="M55" s="21"/>
      <c r="N55" s="21"/>
      <c r="O55" s="22"/>
      <c r="P55" s="22"/>
      <c r="Q55" s="181" t="s">
        <v>60</v>
      </c>
    </row>
    <row r="56" spans="1:17" ht="35.25" customHeight="1">
      <c r="A56" s="82" t="s">
        <v>84</v>
      </c>
      <c r="B56" s="45"/>
      <c r="C56" s="45"/>
      <c r="D56" s="45"/>
      <c r="E56" s="45">
        <v>15000</v>
      </c>
      <c r="F56" s="45">
        <f>E56</f>
        <v>15000</v>
      </c>
      <c r="G56" s="20">
        <f t="shared" si="7"/>
        <v>15000</v>
      </c>
      <c r="H56" s="21"/>
      <c r="I56" s="21">
        <f t="shared" si="9"/>
        <v>15000</v>
      </c>
      <c r="J56" s="21"/>
      <c r="K56" s="22"/>
      <c r="L56" s="22"/>
      <c r="M56" s="21"/>
      <c r="N56" s="21"/>
      <c r="O56" s="22"/>
      <c r="P56" s="22"/>
      <c r="Q56" s="23" t="s">
        <v>71</v>
      </c>
    </row>
    <row r="57" spans="1:17" ht="35.25" customHeight="1">
      <c r="A57" s="82" t="s">
        <v>85</v>
      </c>
      <c r="B57" s="45"/>
      <c r="C57" s="45"/>
      <c r="D57" s="45"/>
      <c r="E57" s="45"/>
      <c r="F57" s="41">
        <v>15000</v>
      </c>
      <c r="G57" s="20"/>
      <c r="H57" s="21"/>
      <c r="I57" s="21">
        <f t="shared" si="9"/>
        <v>15000</v>
      </c>
      <c r="J57" s="21"/>
      <c r="K57" s="22"/>
      <c r="L57" s="22"/>
      <c r="M57" s="21"/>
      <c r="N57" s="21"/>
      <c r="O57" s="22"/>
      <c r="P57" s="22"/>
      <c r="Q57" s="64" t="s">
        <v>60</v>
      </c>
    </row>
    <row r="58" spans="1:17" ht="30" customHeight="1">
      <c r="A58" s="82" t="s">
        <v>86</v>
      </c>
      <c r="B58" s="84">
        <v>141592.7202</v>
      </c>
      <c r="C58" s="45">
        <v>141592.7202</v>
      </c>
      <c r="D58" s="45">
        <v>141592.7202</v>
      </c>
      <c r="E58" s="84">
        <v>30000</v>
      </c>
      <c r="F58" s="84">
        <f aca="true" t="shared" si="10" ref="F58:F65">E58</f>
        <v>30000</v>
      </c>
      <c r="G58" s="20">
        <f aca="true" t="shared" si="11" ref="G58:G69">F58-B58</f>
        <v>-111592.72020000001</v>
      </c>
      <c r="H58" s="21"/>
      <c r="I58" s="21">
        <f t="shared" si="9"/>
        <v>30000</v>
      </c>
      <c r="J58" s="21"/>
      <c r="K58" s="85"/>
      <c r="L58" s="86">
        <v>0</v>
      </c>
      <c r="M58" s="21">
        <f>L58-C58</f>
        <v>-141592.7202</v>
      </c>
      <c r="N58" s="21"/>
      <c r="O58" s="22"/>
      <c r="P58" s="22">
        <f>B58-O58</f>
        <v>141592.7202</v>
      </c>
      <c r="Q58" s="23" t="s">
        <v>71</v>
      </c>
    </row>
    <row r="59" spans="1:17" ht="30" customHeight="1">
      <c r="A59" s="82" t="s">
        <v>87</v>
      </c>
      <c r="B59" s="84">
        <v>242089.0803</v>
      </c>
      <c r="C59" s="45">
        <v>242089.0803</v>
      </c>
      <c r="D59" s="45">
        <v>242089.0803</v>
      </c>
      <c r="E59" s="84">
        <v>108000</v>
      </c>
      <c r="F59" s="84">
        <f t="shared" si="10"/>
        <v>108000</v>
      </c>
      <c r="G59" s="20">
        <f t="shared" si="11"/>
        <v>-134089.0803</v>
      </c>
      <c r="H59" s="21"/>
      <c r="I59" s="21">
        <f t="shared" si="9"/>
        <v>108000</v>
      </c>
      <c r="J59" s="21"/>
      <c r="K59" s="85"/>
      <c r="L59" s="86">
        <v>0</v>
      </c>
      <c r="M59" s="21">
        <f>L59-C59</f>
        <v>-242089.0803</v>
      </c>
      <c r="N59" s="21"/>
      <c r="O59" s="22"/>
      <c r="P59" s="22">
        <f>B59-O59</f>
        <v>242089.0803</v>
      </c>
      <c r="Q59" s="23" t="s">
        <v>71</v>
      </c>
    </row>
    <row r="60" spans="1:17" ht="30" customHeight="1">
      <c r="A60" s="87" t="s">
        <v>88</v>
      </c>
      <c r="B60" s="45">
        <v>15000</v>
      </c>
      <c r="C60" s="45">
        <v>15000</v>
      </c>
      <c r="D60" s="45">
        <v>15000</v>
      </c>
      <c r="E60" s="45">
        <v>15000</v>
      </c>
      <c r="F60" s="84">
        <f t="shared" si="10"/>
        <v>15000</v>
      </c>
      <c r="G60" s="20">
        <f t="shared" si="11"/>
        <v>0</v>
      </c>
      <c r="H60" s="21">
        <f>F60</f>
        <v>15000</v>
      </c>
      <c r="I60" s="21">
        <f>F60-H60</f>
        <v>0</v>
      </c>
      <c r="J60" s="21"/>
      <c r="K60" s="22"/>
      <c r="L60" s="22">
        <v>15000</v>
      </c>
      <c r="M60" s="21">
        <f>L60-C60</f>
        <v>0</v>
      </c>
      <c r="N60" s="21"/>
      <c r="O60" s="22">
        <v>15000</v>
      </c>
      <c r="P60" s="22">
        <f>B60-O60</f>
        <v>0</v>
      </c>
      <c r="Q60" s="64" t="s">
        <v>89</v>
      </c>
    </row>
    <row r="61" spans="1:18" ht="30" customHeight="1">
      <c r="A61" s="82" t="s">
        <v>90</v>
      </c>
      <c r="B61" s="45">
        <v>256151.2</v>
      </c>
      <c r="C61" s="45">
        <f>B61-((C64+C67+C70+C73)-(B64+B67+B70+B73))</f>
        <v>256151.2</v>
      </c>
      <c r="D61" s="45">
        <f>C61-D65-D68-D71-D74</f>
        <v>227581.6868317966</v>
      </c>
      <c r="E61" s="45">
        <f>D61-((E65+E68+E71+E74)-(D65+D68+D71+D74))-E62</f>
        <v>90827.44</v>
      </c>
      <c r="F61" s="84">
        <f t="shared" si="10"/>
        <v>90827.44</v>
      </c>
      <c r="G61" s="20">
        <f t="shared" si="11"/>
        <v>-165323.76</v>
      </c>
      <c r="H61" s="21"/>
      <c r="I61" s="21">
        <f t="shared" si="9"/>
        <v>90827.44</v>
      </c>
      <c r="J61" s="21"/>
      <c r="K61" s="22"/>
      <c r="L61" s="22">
        <f>F61</f>
        <v>90827.44</v>
      </c>
      <c r="M61" s="21">
        <f>L61-C61</f>
        <v>-165323.76</v>
      </c>
      <c r="N61" s="21"/>
      <c r="O61" s="22">
        <v>113420.96</v>
      </c>
      <c r="P61" s="22">
        <f>B61-O61</f>
        <v>142730.24</v>
      </c>
      <c r="Q61" s="23" t="s">
        <v>71</v>
      </c>
      <c r="R61" s="21"/>
    </row>
    <row r="62" spans="1:18" ht="30" customHeight="1">
      <c r="A62" s="82" t="s">
        <v>91</v>
      </c>
      <c r="B62" s="45"/>
      <c r="C62" s="45"/>
      <c r="D62" s="45"/>
      <c r="E62" s="45">
        <v>96000</v>
      </c>
      <c r="F62" s="84">
        <f t="shared" si="10"/>
        <v>96000</v>
      </c>
      <c r="G62" s="20">
        <f t="shared" si="11"/>
        <v>96000</v>
      </c>
      <c r="H62" s="21"/>
      <c r="I62" s="21">
        <v>96000</v>
      </c>
      <c r="J62" s="21">
        <f>G62-I62</f>
        <v>0</v>
      </c>
      <c r="K62" s="22"/>
      <c r="L62" s="22"/>
      <c r="M62" s="21"/>
      <c r="N62" s="21"/>
      <c r="O62" s="22"/>
      <c r="P62" s="22"/>
      <c r="Q62" s="23" t="s">
        <v>71</v>
      </c>
      <c r="R62" s="21"/>
    </row>
    <row r="63" spans="1:17" ht="30" customHeight="1">
      <c r="A63" s="87" t="s">
        <v>92</v>
      </c>
      <c r="B63" s="45">
        <v>49483.2</v>
      </c>
      <c r="C63" s="45">
        <v>49483.2</v>
      </c>
      <c r="D63" s="45">
        <v>49483.2</v>
      </c>
      <c r="E63" s="45">
        <v>49483.2</v>
      </c>
      <c r="F63" s="84">
        <f t="shared" si="10"/>
        <v>49483.2</v>
      </c>
      <c r="G63" s="20"/>
      <c r="H63" s="21">
        <v>39586.56</v>
      </c>
      <c r="I63" s="21">
        <f t="shared" si="9"/>
        <v>9896.64</v>
      </c>
      <c r="J63" s="21"/>
      <c r="K63" s="22"/>
      <c r="L63" s="22">
        <v>74936.43</v>
      </c>
      <c r="M63" s="21">
        <f>L63-C63</f>
        <v>25453.229999999996</v>
      </c>
      <c r="N63" s="21"/>
      <c r="O63" s="22">
        <f>B63</f>
        <v>49483.2</v>
      </c>
      <c r="P63" s="22">
        <f>B63-O63</f>
        <v>0</v>
      </c>
      <c r="Q63" s="64" t="s">
        <v>93</v>
      </c>
    </row>
    <row r="64" spans="1:17" ht="30" customHeight="1">
      <c r="A64" s="87" t="s">
        <v>94</v>
      </c>
      <c r="B64" s="45">
        <v>48190</v>
      </c>
      <c r="C64" s="45">
        <f>B64</f>
        <v>48190</v>
      </c>
      <c r="D64" s="45">
        <f>C64</f>
        <v>48190</v>
      </c>
      <c r="E64" s="45">
        <f>D64</f>
        <v>48190</v>
      </c>
      <c r="F64" s="84">
        <f t="shared" si="10"/>
        <v>48190</v>
      </c>
      <c r="G64" s="20">
        <f t="shared" si="11"/>
        <v>0</v>
      </c>
      <c r="H64" s="21">
        <v>38552</v>
      </c>
      <c r="I64" s="21">
        <f t="shared" si="9"/>
        <v>9638</v>
      </c>
      <c r="J64" s="21"/>
      <c r="K64" s="22"/>
      <c r="L64" s="22">
        <f>F65*(L$30/F$30)</f>
        <v>17309.998305957422</v>
      </c>
      <c r="M64" s="21">
        <f>L64-C65</f>
        <v>17309.998305957422</v>
      </c>
      <c r="N64" s="21"/>
      <c r="O64" s="22">
        <f>B64</f>
        <v>48190</v>
      </c>
      <c r="P64" s="22">
        <f>B64-O64</f>
        <v>0</v>
      </c>
      <c r="Q64" s="64" t="s">
        <v>95</v>
      </c>
    </row>
    <row r="65" spans="1:17" ht="30" customHeight="1">
      <c r="A65" t="s">
        <v>96</v>
      </c>
      <c r="B65" s="45"/>
      <c r="C65" s="45">
        <v>0</v>
      </c>
      <c r="D65" s="45">
        <f>B64*(D$30/C$30)-B64</f>
        <v>6055.75316820341</v>
      </c>
      <c r="E65" s="45">
        <v>16810</v>
      </c>
      <c r="F65" s="84">
        <f t="shared" si="10"/>
        <v>16810</v>
      </c>
      <c r="G65" s="20">
        <f t="shared" si="11"/>
        <v>16810</v>
      </c>
      <c r="H65" s="21"/>
      <c r="I65" s="21">
        <f t="shared" si="9"/>
        <v>16810</v>
      </c>
      <c r="J65" s="21"/>
      <c r="K65" s="22"/>
      <c r="L65" s="22"/>
      <c r="M65" s="21"/>
      <c r="N65" s="21"/>
      <c r="O65" s="22"/>
      <c r="P65" s="22"/>
      <c r="Q65" s="23" t="s">
        <v>71</v>
      </c>
    </row>
    <row r="66" spans="1:17" ht="39.75" customHeight="1">
      <c r="A66" s="88" t="s">
        <v>97</v>
      </c>
      <c r="B66" s="45"/>
      <c r="C66" s="45"/>
      <c r="D66" s="45"/>
      <c r="E66" s="45"/>
      <c r="F66" s="41">
        <v>7285</v>
      </c>
      <c r="G66" s="20">
        <f t="shared" si="11"/>
        <v>7285</v>
      </c>
      <c r="H66" s="21"/>
      <c r="I66" s="21">
        <f t="shared" si="9"/>
        <v>7285</v>
      </c>
      <c r="J66" s="21"/>
      <c r="K66" s="22"/>
      <c r="L66" s="22"/>
      <c r="M66" s="21"/>
      <c r="N66" s="21"/>
      <c r="O66" s="22"/>
      <c r="P66" s="22"/>
      <c r="Q66" s="181" t="s">
        <v>60</v>
      </c>
    </row>
    <row r="67" spans="1:17" ht="30" customHeight="1">
      <c r="A67" s="87" t="s">
        <v>98</v>
      </c>
      <c r="B67" s="89">
        <v>46818.72</v>
      </c>
      <c r="C67" s="89">
        <f>B67</f>
        <v>46818.72</v>
      </c>
      <c r="D67" s="89">
        <f>C67</f>
        <v>46818.72</v>
      </c>
      <c r="E67" s="89">
        <f>D67</f>
        <v>46818.72</v>
      </c>
      <c r="F67" s="89">
        <f>B67</f>
        <v>46818.72</v>
      </c>
      <c r="G67" s="20">
        <f t="shared" si="11"/>
        <v>0</v>
      </c>
      <c r="H67" s="21">
        <v>37454.98</v>
      </c>
      <c r="I67" s="21">
        <f t="shared" si="9"/>
        <v>9363.739999999998</v>
      </c>
      <c r="J67" s="21"/>
      <c r="K67" s="22"/>
      <c r="L67" s="22">
        <f>F67*(L$30/F$30)</f>
        <v>48211.30064765586</v>
      </c>
      <c r="M67" s="21">
        <f>L67-C67</f>
        <v>1392.5806476558573</v>
      </c>
      <c r="N67" s="21"/>
      <c r="O67" s="22">
        <f>B67</f>
        <v>46818.72</v>
      </c>
      <c r="P67" s="22">
        <f>B67-O67</f>
        <v>0</v>
      </c>
      <c r="Q67" s="64" t="s">
        <v>99</v>
      </c>
    </row>
    <row r="68" spans="1:17" ht="30" customHeight="1">
      <c r="A68" t="s">
        <v>100</v>
      </c>
      <c r="B68" s="89"/>
      <c r="C68" s="45">
        <v>0</v>
      </c>
      <c r="D68" s="45">
        <f>55000-B67</f>
        <v>8181.279999999999</v>
      </c>
      <c r="E68" s="89">
        <v>18181.28</v>
      </c>
      <c r="F68" s="89">
        <v>18181.28</v>
      </c>
      <c r="G68" s="20">
        <f t="shared" si="11"/>
        <v>18181.28</v>
      </c>
      <c r="H68" s="21"/>
      <c r="I68" s="21">
        <f t="shared" si="9"/>
        <v>18181.28</v>
      </c>
      <c r="J68" s="21"/>
      <c r="K68" s="22"/>
      <c r="L68" s="22"/>
      <c r="M68" s="21"/>
      <c r="N68" s="21"/>
      <c r="O68" s="22"/>
      <c r="P68" s="22"/>
      <c r="Q68" s="23" t="s">
        <v>71</v>
      </c>
    </row>
    <row r="69" spans="1:17" ht="30" customHeight="1">
      <c r="A69" t="s">
        <v>101</v>
      </c>
      <c r="B69" s="89"/>
      <c r="C69" s="89"/>
      <c r="D69" s="89"/>
      <c r="E69" s="89"/>
      <c r="F69" s="90">
        <v>5228</v>
      </c>
      <c r="G69" s="20">
        <f t="shared" si="11"/>
        <v>5228</v>
      </c>
      <c r="H69" s="21"/>
      <c r="I69" s="21">
        <f t="shared" si="9"/>
        <v>5228</v>
      </c>
      <c r="J69" s="21"/>
      <c r="K69" s="22"/>
      <c r="L69" s="22"/>
      <c r="M69" s="21"/>
      <c r="N69" s="21"/>
      <c r="O69" s="22"/>
      <c r="P69" s="22"/>
      <c r="Q69" s="181" t="s">
        <v>60</v>
      </c>
    </row>
    <row r="70" spans="1:17" ht="30" customHeight="1">
      <c r="A70" s="87" t="s">
        <v>102</v>
      </c>
      <c r="B70" s="89">
        <v>46818.72</v>
      </c>
      <c r="C70" s="89">
        <f>B70</f>
        <v>46818.72</v>
      </c>
      <c r="D70" s="89">
        <f>C70</f>
        <v>46818.72</v>
      </c>
      <c r="E70" s="89">
        <f>D70</f>
        <v>46818.72</v>
      </c>
      <c r="F70" s="89">
        <f>B70</f>
        <v>46818.72</v>
      </c>
      <c r="G70"/>
      <c r="H70" s="21">
        <v>37454.98</v>
      </c>
      <c r="I70" s="21">
        <f t="shared" si="9"/>
        <v>9363.739999999998</v>
      </c>
      <c r="J70" s="21"/>
      <c r="K70" s="22"/>
      <c r="L70" s="22">
        <f>F70*(L$30/F$30)</f>
        <v>48211.30064765586</v>
      </c>
      <c r="M70" s="21">
        <f>L70-C70</f>
        <v>1392.5806476558573</v>
      </c>
      <c r="N70" s="21"/>
      <c r="O70" s="22">
        <f>B70</f>
        <v>46818.72</v>
      </c>
      <c r="P70" s="22">
        <f>B70-O70</f>
        <v>0</v>
      </c>
      <c r="Q70" s="64" t="s">
        <v>103</v>
      </c>
    </row>
    <row r="71" spans="1:17" ht="30" customHeight="1">
      <c r="A71" t="s">
        <v>104</v>
      </c>
      <c r="B71" s="89"/>
      <c r="C71" s="45">
        <v>0</v>
      </c>
      <c r="D71" s="45">
        <f>55000-B70</f>
        <v>8181.279999999999</v>
      </c>
      <c r="E71" s="89">
        <v>18181.28</v>
      </c>
      <c r="F71" s="89">
        <v>18181.28</v>
      </c>
      <c r="G71" s="20">
        <f aca="true" t="shared" si="12" ref="G71:G90">F71-B71</f>
        <v>18181.28</v>
      </c>
      <c r="H71" s="21"/>
      <c r="I71" s="21">
        <f t="shared" si="9"/>
        <v>18181.28</v>
      </c>
      <c r="J71" s="21"/>
      <c r="K71" s="22"/>
      <c r="L71" s="22"/>
      <c r="M71" s="21"/>
      <c r="N71" s="21"/>
      <c r="O71" s="22"/>
      <c r="P71" s="22"/>
      <c r="Q71" s="23" t="s">
        <v>71</v>
      </c>
    </row>
    <row r="72" spans="1:17" ht="30" customHeight="1">
      <c r="A72" t="s">
        <v>105</v>
      </c>
      <c r="B72" s="89"/>
      <c r="C72" s="89"/>
      <c r="D72" s="89"/>
      <c r="E72" s="89"/>
      <c r="F72" s="90">
        <v>5228</v>
      </c>
      <c r="G72" s="20">
        <f t="shared" si="12"/>
        <v>5228</v>
      </c>
      <c r="H72" s="21"/>
      <c r="I72" s="21">
        <f t="shared" si="9"/>
        <v>5228</v>
      </c>
      <c r="J72" s="21"/>
      <c r="K72" s="22"/>
      <c r="L72" s="22"/>
      <c r="M72" s="21"/>
      <c r="N72" s="21"/>
      <c r="O72" s="22"/>
      <c r="P72" s="22"/>
      <c r="Q72" s="181" t="s">
        <v>60</v>
      </c>
    </row>
    <row r="73" spans="1:17" ht="30" customHeight="1">
      <c r="A73" s="87" t="s">
        <v>106</v>
      </c>
      <c r="B73" s="45">
        <v>48848.8</v>
      </c>
      <c r="C73" s="45">
        <f>B73</f>
        <v>48848.8</v>
      </c>
      <c r="D73" s="45">
        <f>C73</f>
        <v>48848.8</v>
      </c>
      <c r="E73" s="45">
        <f>D73</f>
        <v>48848.8</v>
      </c>
      <c r="F73" s="45">
        <f>B73</f>
        <v>48848.8</v>
      </c>
      <c r="G73" s="20">
        <f t="shared" si="12"/>
        <v>0</v>
      </c>
      <c r="H73" s="21">
        <v>39079.04</v>
      </c>
      <c r="I73" s="21">
        <f t="shared" si="9"/>
        <v>9769.760000000002</v>
      </c>
      <c r="J73" s="21"/>
      <c r="K73" s="22"/>
      <c r="L73" s="22">
        <f>F73*(L$30/F$30)</f>
        <v>50301.76354836723</v>
      </c>
      <c r="M73" s="21">
        <f>L73-C73</f>
        <v>1452.9635483672246</v>
      </c>
      <c r="N73" s="21"/>
      <c r="O73" s="22">
        <v>39079.04</v>
      </c>
      <c r="P73" s="22">
        <f>B73-O73</f>
        <v>9769.760000000002</v>
      </c>
      <c r="Q73" s="64" t="s">
        <v>107</v>
      </c>
    </row>
    <row r="74" spans="1:17" ht="30" customHeight="1">
      <c r="A74" t="s">
        <v>108</v>
      </c>
      <c r="B74" s="45"/>
      <c r="C74" s="45"/>
      <c r="D74" s="45">
        <f>55000-B73</f>
        <v>6151.199999999997</v>
      </c>
      <c r="E74" s="45">
        <v>16151.2</v>
      </c>
      <c r="F74" s="45">
        <v>16151.2</v>
      </c>
      <c r="G74" s="20">
        <f t="shared" si="12"/>
        <v>16151.2</v>
      </c>
      <c r="H74" s="21"/>
      <c r="I74" s="21">
        <f t="shared" si="9"/>
        <v>16151.2</v>
      </c>
      <c r="J74" s="21"/>
      <c r="K74" s="22"/>
      <c r="L74" s="22"/>
      <c r="M74" s="21"/>
      <c r="N74" s="21"/>
      <c r="O74" s="22"/>
      <c r="P74" s="22"/>
      <c r="Q74" s="23" t="s">
        <v>71</v>
      </c>
    </row>
    <row r="75" spans="1:17" ht="30" customHeight="1">
      <c r="A75" t="s">
        <v>109</v>
      </c>
      <c r="B75" s="45"/>
      <c r="C75" s="45"/>
      <c r="D75" s="45"/>
      <c r="E75" s="45"/>
      <c r="F75" s="41">
        <v>8273.2</v>
      </c>
      <c r="G75" s="20">
        <f t="shared" si="12"/>
        <v>8273.2</v>
      </c>
      <c r="H75" s="21"/>
      <c r="I75" s="21">
        <f t="shared" si="9"/>
        <v>8273.2</v>
      </c>
      <c r="J75" s="21"/>
      <c r="K75" s="22"/>
      <c r="L75" s="22"/>
      <c r="M75" s="21"/>
      <c r="N75" s="21"/>
      <c r="O75" s="22"/>
      <c r="P75" s="22"/>
      <c r="Q75" s="181" t="s">
        <v>60</v>
      </c>
    </row>
    <row r="76" spans="1:17" ht="30" customHeight="1">
      <c r="A76" s="87" t="s">
        <v>110</v>
      </c>
      <c r="B76" s="45"/>
      <c r="C76" s="45"/>
      <c r="D76" s="45"/>
      <c r="E76" s="45"/>
      <c r="F76" s="41">
        <v>24614.72</v>
      </c>
      <c r="G76" s="20">
        <f t="shared" si="12"/>
        <v>24614.72</v>
      </c>
      <c r="H76" s="21"/>
      <c r="I76" s="21">
        <f t="shared" si="9"/>
        <v>24614.72</v>
      </c>
      <c r="J76" s="21"/>
      <c r="K76" s="22"/>
      <c r="L76" s="22">
        <f>F76</f>
        <v>24614.72</v>
      </c>
      <c r="M76" s="21"/>
      <c r="N76" s="21"/>
      <c r="O76" s="22"/>
      <c r="P76" s="22"/>
      <c r="Q76" s="181" t="s">
        <v>60</v>
      </c>
    </row>
    <row r="77" spans="1:17" ht="30" customHeight="1">
      <c r="A77" s="91" t="s">
        <v>111</v>
      </c>
      <c r="B77" s="45"/>
      <c r="C77" s="45"/>
      <c r="D77" s="45"/>
      <c r="E77" s="45"/>
      <c r="F77" s="41">
        <v>5599.8</v>
      </c>
      <c r="G77" s="20">
        <f t="shared" si="12"/>
        <v>5599.8</v>
      </c>
      <c r="H77" s="21"/>
      <c r="I77" s="21">
        <f t="shared" si="9"/>
        <v>5599.8</v>
      </c>
      <c r="J77" s="21"/>
      <c r="K77" s="22"/>
      <c r="L77" s="22"/>
      <c r="M77" s="21"/>
      <c r="N77" s="21"/>
      <c r="O77" s="22"/>
      <c r="P77" s="22"/>
      <c r="Q77" s="92" t="s">
        <v>60</v>
      </c>
    </row>
    <row r="78" spans="1:17" ht="30" customHeight="1">
      <c r="A78" s="91" t="s">
        <v>112</v>
      </c>
      <c r="B78" s="45"/>
      <c r="C78" s="45"/>
      <c r="D78" s="45"/>
      <c r="E78" s="45"/>
      <c r="F78" s="41">
        <v>5559.8</v>
      </c>
      <c r="G78" s="20">
        <f t="shared" si="12"/>
        <v>5559.8</v>
      </c>
      <c r="H78" s="21"/>
      <c r="I78" s="21">
        <f t="shared" si="9"/>
        <v>5559.8</v>
      </c>
      <c r="J78" s="21"/>
      <c r="K78" s="22"/>
      <c r="L78" s="22"/>
      <c r="M78" s="21"/>
      <c r="N78" s="21"/>
      <c r="O78" s="22"/>
      <c r="P78" s="22"/>
      <c r="Q78" s="92" t="s">
        <v>60</v>
      </c>
    </row>
    <row r="79" spans="1:17" ht="30" customHeight="1">
      <c r="A79" s="91" t="s">
        <v>113</v>
      </c>
      <c r="B79" s="45"/>
      <c r="C79" s="45"/>
      <c r="D79" s="45"/>
      <c r="E79" s="45"/>
      <c r="F79" s="41">
        <v>23486.73</v>
      </c>
      <c r="G79" s="20">
        <f t="shared" si="12"/>
        <v>23486.73</v>
      </c>
      <c r="H79" s="21"/>
      <c r="I79" s="21">
        <f t="shared" si="9"/>
        <v>23486.73</v>
      </c>
      <c r="J79" s="21"/>
      <c r="K79" s="22"/>
      <c r="L79" s="22"/>
      <c r="M79" s="21"/>
      <c r="N79" s="21"/>
      <c r="O79" s="22"/>
      <c r="P79" s="22"/>
      <c r="Q79" s="92" t="s">
        <v>60</v>
      </c>
    </row>
    <row r="80" spans="1:17" ht="30" customHeight="1">
      <c r="A80" s="93" t="s">
        <v>114</v>
      </c>
      <c r="B80" s="45"/>
      <c r="C80" s="45"/>
      <c r="D80" s="45"/>
      <c r="E80" s="45"/>
      <c r="F80" s="41">
        <f>0.02*F20</f>
        <v>19600</v>
      </c>
      <c r="G80" s="20">
        <f t="shared" si="12"/>
        <v>19600</v>
      </c>
      <c r="H80" s="21"/>
      <c r="I80" s="21">
        <f t="shared" si="9"/>
        <v>19600</v>
      </c>
      <c r="J80" s="21"/>
      <c r="K80" s="22"/>
      <c r="L80" s="22"/>
      <c r="M80" s="21"/>
      <c r="N80" s="21"/>
      <c r="O80" s="22"/>
      <c r="P80" s="22"/>
      <c r="Q80" s="181" t="s">
        <v>60</v>
      </c>
    </row>
    <row r="81" spans="1:17" ht="30" customHeight="1">
      <c r="A81" s="82" t="s">
        <v>115</v>
      </c>
      <c r="B81" s="45">
        <v>61000</v>
      </c>
      <c r="C81" s="45">
        <v>61000</v>
      </c>
      <c r="D81" s="45">
        <v>61000</v>
      </c>
      <c r="E81" s="45">
        <v>61000</v>
      </c>
      <c r="F81" s="45">
        <v>61000</v>
      </c>
      <c r="G81" s="20">
        <f t="shared" si="12"/>
        <v>0</v>
      </c>
      <c r="H81" s="21"/>
      <c r="I81" s="21">
        <f t="shared" si="9"/>
        <v>61000</v>
      </c>
      <c r="J81" s="21"/>
      <c r="K81" s="22"/>
      <c r="L81" s="83">
        <v>0</v>
      </c>
      <c r="M81" s="21">
        <f aca="true" t="shared" si="13" ref="M81:M87">L81-C81</f>
        <v>-61000</v>
      </c>
      <c r="N81" s="21"/>
      <c r="O81" s="22">
        <f>B81*0.5</f>
        <v>30500</v>
      </c>
      <c r="P81" s="22">
        <f>B81-O81</f>
        <v>30500</v>
      </c>
      <c r="Q81" s="23" t="s">
        <v>71</v>
      </c>
    </row>
    <row r="82" spans="1:17" ht="30" customHeight="1">
      <c r="A82" s="82" t="s">
        <v>116</v>
      </c>
      <c r="B82" s="45">
        <v>14348.3</v>
      </c>
      <c r="C82" s="45">
        <v>14348.3</v>
      </c>
      <c r="D82" s="45">
        <v>14348.3</v>
      </c>
      <c r="E82" s="45">
        <v>14348.3</v>
      </c>
      <c r="F82" s="45">
        <v>14348.3</v>
      </c>
      <c r="G82" s="20">
        <f t="shared" si="12"/>
        <v>0</v>
      </c>
      <c r="H82" s="21"/>
      <c r="I82" s="21">
        <f t="shared" si="9"/>
        <v>14348.3</v>
      </c>
      <c r="J82" s="21"/>
      <c r="K82" s="22"/>
      <c r="L82" s="22">
        <v>14348.3</v>
      </c>
      <c r="M82" s="21">
        <f t="shared" si="13"/>
        <v>0</v>
      </c>
      <c r="N82" s="21"/>
      <c r="O82" s="22">
        <f>B82</f>
        <v>14348.3</v>
      </c>
      <c r="P82" s="22">
        <f>B82-O82</f>
        <v>0</v>
      </c>
      <c r="Q82" s="23" t="s">
        <v>71</v>
      </c>
    </row>
    <row r="83" spans="1:17" ht="30" customHeight="1">
      <c r="A83" s="82" t="s">
        <v>117</v>
      </c>
      <c r="B83" s="45">
        <v>10000</v>
      </c>
      <c r="C83" s="45">
        <v>10000</v>
      </c>
      <c r="D83" s="45">
        <v>10000</v>
      </c>
      <c r="E83" s="45">
        <v>10000</v>
      </c>
      <c r="F83" s="45">
        <v>10000</v>
      </c>
      <c r="G83" s="20">
        <f t="shared" si="12"/>
        <v>0</v>
      </c>
      <c r="H83" s="21"/>
      <c r="I83" s="21">
        <f t="shared" si="9"/>
        <v>10000</v>
      </c>
      <c r="J83" s="21"/>
      <c r="K83" s="22"/>
      <c r="L83" s="22">
        <v>10000</v>
      </c>
      <c r="M83" s="21">
        <f t="shared" si="13"/>
        <v>0</v>
      </c>
      <c r="N83" s="21"/>
      <c r="O83" s="22">
        <f>B83</f>
        <v>10000</v>
      </c>
      <c r="P83" s="22">
        <f>B83-O83</f>
        <v>0</v>
      </c>
      <c r="Q83" s="23" t="s">
        <v>71</v>
      </c>
    </row>
    <row r="84" spans="1:17" ht="22.5" customHeight="1">
      <c r="A84" s="82" t="s">
        <v>118</v>
      </c>
      <c r="B84" s="45">
        <v>14243.6</v>
      </c>
      <c r="C84" s="45">
        <v>14243.6</v>
      </c>
      <c r="D84" s="45">
        <v>14243.6</v>
      </c>
      <c r="E84" s="45">
        <v>14243.6</v>
      </c>
      <c r="F84" s="45">
        <v>14243.6</v>
      </c>
      <c r="G84" s="20">
        <f t="shared" si="12"/>
        <v>0</v>
      </c>
      <c r="H84" s="21"/>
      <c r="I84" s="21">
        <f t="shared" si="9"/>
        <v>14243.6</v>
      </c>
      <c r="J84" s="21"/>
      <c r="K84" s="22"/>
      <c r="L84" s="22">
        <v>14243.6</v>
      </c>
      <c r="M84" s="21">
        <f t="shared" si="13"/>
        <v>0</v>
      </c>
      <c r="N84" s="21"/>
      <c r="O84" s="22">
        <f>B84</f>
        <v>14243.6</v>
      </c>
      <c r="P84" s="22">
        <f>B84-O84</f>
        <v>0</v>
      </c>
      <c r="Q84" s="23" t="s">
        <v>71</v>
      </c>
    </row>
    <row r="85" spans="1:17" ht="22.5" customHeight="1">
      <c r="A85" s="82" t="s">
        <v>119</v>
      </c>
      <c r="B85" s="45">
        <v>756.4</v>
      </c>
      <c r="C85" s="45">
        <v>756.4</v>
      </c>
      <c r="D85" s="45">
        <v>756.4</v>
      </c>
      <c r="E85" s="45">
        <v>756.4</v>
      </c>
      <c r="F85" s="45">
        <v>756.4</v>
      </c>
      <c r="G85" s="20">
        <f t="shared" si="12"/>
        <v>0</v>
      </c>
      <c r="H85" s="21">
        <f>F85</f>
        <v>756.4</v>
      </c>
      <c r="I85" s="21">
        <f t="shared" si="9"/>
        <v>0</v>
      </c>
      <c r="J85" s="21"/>
      <c r="K85" s="22"/>
      <c r="L85" s="22">
        <v>756.4</v>
      </c>
      <c r="M85" s="21">
        <f t="shared" si="13"/>
        <v>0</v>
      </c>
      <c r="N85" s="21"/>
      <c r="O85" s="22">
        <v>756.4</v>
      </c>
      <c r="P85" s="22"/>
      <c r="Q85" s="64" t="s">
        <v>120</v>
      </c>
    </row>
    <row r="86" spans="1:17" ht="28.5" customHeight="1">
      <c r="A86" s="82" t="s">
        <v>121</v>
      </c>
      <c r="B86" s="45">
        <v>122000</v>
      </c>
      <c r="C86" s="45">
        <v>122000</v>
      </c>
      <c r="D86" s="45">
        <v>122000</v>
      </c>
      <c r="E86" s="45">
        <v>80000</v>
      </c>
      <c r="F86" s="45">
        <v>80000</v>
      </c>
      <c r="G86" s="20">
        <f t="shared" si="12"/>
        <v>-42000</v>
      </c>
      <c r="H86" s="21"/>
      <c r="I86" s="21">
        <f t="shared" si="9"/>
        <v>80000</v>
      </c>
      <c r="J86" s="21"/>
      <c r="K86" s="22"/>
      <c r="L86" s="22">
        <v>80000</v>
      </c>
      <c r="M86" s="21">
        <f t="shared" si="13"/>
        <v>-42000</v>
      </c>
      <c r="N86" s="21"/>
      <c r="O86" s="22">
        <f>B86*0.5</f>
        <v>61000</v>
      </c>
      <c r="P86" s="22">
        <f>B86-O86</f>
        <v>61000</v>
      </c>
      <c r="Q86" s="23" t="s">
        <v>71</v>
      </c>
    </row>
    <row r="87" spans="1:17" ht="36" customHeight="1">
      <c r="A87" s="180" t="s">
        <v>122</v>
      </c>
      <c r="B87" s="45">
        <f>B30*22/100</f>
        <v>1108061.6201296865</v>
      </c>
      <c r="C87" s="45">
        <f>C30*22/100</f>
        <v>1434428.6281296865</v>
      </c>
      <c r="D87" s="45">
        <f>D30*22/100</f>
        <v>1614684.816329687</v>
      </c>
      <c r="E87" s="45">
        <f>E30*22/100</f>
        <v>1820777.4283296869</v>
      </c>
      <c r="F87" s="45">
        <f>E87</f>
        <v>1820777.4283296869</v>
      </c>
      <c r="G87" s="168">
        <f>F87-B87</f>
        <v>712715.8082000003</v>
      </c>
      <c r="H87" s="21">
        <v>812869.3276000001</v>
      </c>
      <c r="I87" s="21">
        <v>1007908.1030000001</v>
      </c>
      <c r="J87" s="21"/>
      <c r="K87" s="22"/>
      <c r="L87" s="22">
        <f>L30*22/100</f>
        <v>2026114.9633783968</v>
      </c>
      <c r="M87" s="21">
        <f t="shared" si="13"/>
        <v>591686.3352487104</v>
      </c>
      <c r="N87" s="21"/>
      <c r="O87" s="22">
        <f>O30*22/100</f>
        <v>0</v>
      </c>
      <c r="P87" s="22">
        <f>P30*22/100</f>
        <v>1108061.6201296865</v>
      </c>
      <c r="Q87" s="64" t="s">
        <v>172</v>
      </c>
    </row>
    <row r="88" spans="1:256" ht="36" customHeight="1">
      <c r="A88" s="82" t="s">
        <v>123</v>
      </c>
      <c r="B88" s="94"/>
      <c r="C88" s="45"/>
      <c r="D88" s="45"/>
      <c r="E88" s="45"/>
      <c r="F88" s="41">
        <f>0.22*F37</f>
        <v>146813.32080799976</v>
      </c>
      <c r="G88" s="168">
        <f t="shared" si="12"/>
        <v>146813.32080799976</v>
      </c>
      <c r="H88" s="21"/>
      <c r="I88" s="21">
        <v>146813.32</v>
      </c>
      <c r="J88" s="21"/>
      <c r="K88" s="22"/>
      <c r="L88" s="22"/>
      <c r="M88" s="21"/>
      <c r="N88" s="21"/>
      <c r="O88" s="22"/>
      <c r="P88" s="22"/>
      <c r="Q88" s="181" t="s">
        <v>60</v>
      </c>
      <c r="R88"/>
      <c r="S88" s="95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17" ht="22.5" customHeight="1">
      <c r="A89" s="82" t="s">
        <v>49</v>
      </c>
      <c r="B89" s="20">
        <f>SUM(B41:B88)</f>
        <v>7463356.280629687</v>
      </c>
      <c r="C89" s="20">
        <f>SUM(C41:C88)</f>
        <v>5979869.878629685</v>
      </c>
      <c r="D89" s="20">
        <f>SUM(D41:D88)</f>
        <v>5160523.566829687</v>
      </c>
      <c r="E89" s="20">
        <f>SUM(E41:E88)</f>
        <v>4223738.958329687</v>
      </c>
      <c r="F89" s="20">
        <f>SUM(F41:F88)</f>
        <v>4556405.689137687</v>
      </c>
      <c r="G89" s="20">
        <f t="shared" si="12"/>
        <v>-2906950.591492</v>
      </c>
      <c r="H89" s="20">
        <f>SUM(H5:H88)</f>
        <v>4899999.9992</v>
      </c>
      <c r="I89" s="20">
        <f>SUM(I5:I88)</f>
        <v>8600000.0114</v>
      </c>
      <c r="J89" s="20">
        <f>SUM(J5:J88)</f>
        <v>0</v>
      </c>
      <c r="K89" s="49"/>
      <c r="L89" s="49">
        <f>SUM(L41:L88)</f>
        <v>3777435.9065280333</v>
      </c>
      <c r="M89" s="21">
        <f>L89-C89</f>
        <v>-2202433.972101652</v>
      </c>
      <c r="N89" s="21"/>
      <c r="O89" s="49">
        <f>SUM(O41:O88)</f>
        <v>2869765.188000001</v>
      </c>
      <c r="P89" s="49">
        <f>SUM(P41:P88)</f>
        <v>4593591.082629686</v>
      </c>
      <c r="Q89" s="23"/>
    </row>
    <row r="90" spans="1:17" ht="24.75" customHeight="1">
      <c r="A90" s="82" t="s">
        <v>124</v>
      </c>
      <c r="B90" s="20">
        <f>B30+B89-0.01</f>
        <v>12499999.998491898</v>
      </c>
      <c r="C90" s="20">
        <f>C30+C89-0.01</f>
        <v>12499999.996491896</v>
      </c>
      <c r="D90" s="20">
        <f>D30+D89</f>
        <v>12500000.0046919</v>
      </c>
      <c r="E90" s="20">
        <f>E30+E89</f>
        <v>12499999.9961919</v>
      </c>
      <c r="F90" s="20">
        <f>F30+F89</f>
        <v>13500000.003399897</v>
      </c>
      <c r="G90" s="20">
        <f t="shared" si="12"/>
        <v>1000000.0049079992</v>
      </c>
      <c r="H90" s="20">
        <f>H30+H89</f>
        <v>4899999.9992</v>
      </c>
      <c r="I90" s="20">
        <f>I30+I89</f>
        <v>8600000.0114</v>
      </c>
      <c r="J90" s="20">
        <f>J30+J89</f>
        <v>0</v>
      </c>
      <c r="K90" s="49"/>
      <c r="L90" s="49">
        <f>L30+L89-0.01</f>
        <v>12987049.366429837</v>
      </c>
      <c r="M90" s="21">
        <f>L90-C90</f>
        <v>487049.36993794143</v>
      </c>
      <c r="N90" s="21"/>
      <c r="O90" s="49">
        <f>O30+O89</f>
        <v>2869765.188000001</v>
      </c>
      <c r="P90" s="49">
        <f>P30+P89</f>
        <v>9630234.810491897</v>
      </c>
      <c r="Q90" s="171">
        <f>H90+I90+J90</f>
        <v>13500000.0106</v>
      </c>
    </row>
    <row r="91" spans="1:17" ht="20.25" customHeight="1">
      <c r="A91" s="96" t="s">
        <v>125</v>
      </c>
      <c r="B91" s="97">
        <f>B30+B87</f>
        <v>6144705.347991898</v>
      </c>
      <c r="C91" s="97">
        <f>B90-C90</f>
        <v>0.0020000021904706955</v>
      </c>
      <c r="D91" s="97">
        <f>C90-D90</f>
        <v>-0.008200004696846008</v>
      </c>
      <c r="E91" s="97">
        <f>C90-E90</f>
        <v>0.0002999957650899887</v>
      </c>
      <c r="F91" s="97"/>
      <c r="G91" s="97"/>
      <c r="H91" s="98"/>
      <c r="I91" s="98"/>
      <c r="J91" s="98"/>
      <c r="K91" s="97"/>
      <c r="L91" s="97"/>
      <c r="M91" s="97"/>
      <c r="N91" s="97"/>
      <c r="Q91" s="170">
        <f>I34-F34</f>
        <v>0.0036000011023133993</v>
      </c>
    </row>
    <row r="92" spans="1:14" ht="20.25" customHeight="1">
      <c r="A92" s="99" t="s">
        <v>126</v>
      </c>
      <c r="B92" s="97">
        <f>B91*20/100</f>
        <v>1228941.0695983795</v>
      </c>
      <c r="C92" s="97"/>
      <c r="D92" s="97"/>
      <c r="E92" s="97"/>
      <c r="F92" s="97">
        <f>13500000-F90</f>
        <v>-0.0033998973667621613</v>
      </c>
      <c r="G92" s="97"/>
      <c r="H92" s="98">
        <v>4900000</v>
      </c>
      <c r="I92" s="98"/>
      <c r="J92" s="98"/>
      <c r="K92" s="97"/>
      <c r="L92" s="97">
        <f>F90-L90</f>
        <v>512950.63697005995</v>
      </c>
      <c r="M92" s="97"/>
      <c r="N92" s="97"/>
    </row>
    <row r="93" spans="1:14" ht="20.25" customHeight="1">
      <c r="A93" s="100" t="s">
        <v>127</v>
      </c>
      <c r="B93" s="101">
        <f>B91/2</f>
        <v>3072352.673995949</v>
      </c>
      <c r="C93" s="101"/>
      <c r="D93" s="101"/>
      <c r="E93" s="101"/>
      <c r="F93" s="101"/>
      <c r="G93" s="101"/>
      <c r="H93" s="102">
        <f>H92-H91</f>
        <v>4900000</v>
      </c>
      <c r="I93" s="102"/>
      <c r="J93" s="102"/>
      <c r="K93" s="101"/>
      <c r="L93" s="101"/>
      <c r="M93" s="101"/>
      <c r="N93" s="101"/>
    </row>
    <row r="94" spans="1:14" ht="20.25" customHeight="1">
      <c r="A94" s="103" t="s">
        <v>128</v>
      </c>
      <c r="B94" s="97">
        <f>B41+B42+B43+B44+B45</f>
        <v>3755412.06</v>
      </c>
      <c r="C94" s="97"/>
      <c r="D94" s="97"/>
      <c r="E94" s="97"/>
      <c r="F94" s="97"/>
      <c r="G94" s="97"/>
      <c r="H94" s="98">
        <f>H90-H93</f>
        <v>-0.0007999995723366737</v>
      </c>
      <c r="I94" s="98"/>
      <c r="J94" s="98"/>
      <c r="K94" s="97"/>
      <c r="L94" s="97"/>
      <c r="M94" s="97"/>
      <c r="N94" s="97"/>
    </row>
    <row r="95" spans="1:14" ht="20.25" customHeight="1">
      <c r="A95" s="103" t="s">
        <v>129</v>
      </c>
      <c r="B95" s="97">
        <f>B50</f>
        <v>1224541.08</v>
      </c>
      <c r="C95" s="97"/>
      <c r="D95" s="97"/>
      <c r="E95" s="97"/>
      <c r="F95" s="97"/>
      <c r="G95" s="97"/>
      <c r="H95" s="98"/>
      <c r="I95" s="98"/>
      <c r="J95" s="98"/>
      <c r="K95" s="97"/>
      <c r="L95" s="97"/>
      <c r="M95" s="97"/>
      <c r="N95" s="97"/>
    </row>
    <row r="96" spans="1:14" ht="20.25" customHeight="1">
      <c r="A96" s="104" t="s">
        <v>130</v>
      </c>
      <c r="B96" s="105">
        <f>SUM(B94:B95)</f>
        <v>4979953.140000001</v>
      </c>
      <c r="C96" s="105"/>
      <c r="D96" s="105"/>
      <c r="E96" s="105"/>
      <c r="F96" s="105"/>
      <c r="G96" s="105"/>
      <c r="H96" s="102">
        <f>H89-H92</f>
        <v>-0.0007999995723366737</v>
      </c>
      <c r="I96" s="102"/>
      <c r="J96" s="102"/>
      <c r="K96" s="105"/>
      <c r="L96" s="105"/>
      <c r="M96" s="105"/>
      <c r="N96" s="105"/>
    </row>
    <row r="97" spans="1:17" ht="20.25" customHeight="1">
      <c r="A97" s="173" t="s">
        <v>131</v>
      </c>
      <c r="B97" s="173"/>
      <c r="C97" s="106"/>
      <c r="D97" s="106"/>
      <c r="E97" s="106"/>
      <c r="F97" s="106"/>
      <c r="G97" s="106"/>
      <c r="H97" s="107"/>
      <c r="I97" s="107"/>
      <c r="J97" s="107"/>
      <c r="K97" s="106"/>
      <c r="L97" s="106"/>
      <c r="M97" s="106"/>
      <c r="N97" s="106"/>
      <c r="O97" s="14">
        <v>2018</v>
      </c>
      <c r="P97" s="14">
        <v>2019</v>
      </c>
      <c r="Q97" s="108"/>
    </row>
    <row r="98" spans="1:17" ht="20.25" customHeight="1">
      <c r="A98" s="104" t="s">
        <v>132</v>
      </c>
      <c r="B98" s="14" t="s">
        <v>133</v>
      </c>
      <c r="C98" s="14"/>
      <c r="D98" s="14"/>
      <c r="E98" s="14"/>
      <c r="F98" s="14"/>
      <c r="G98" s="14"/>
      <c r="H98" s="109"/>
      <c r="I98" s="109"/>
      <c r="J98" s="109"/>
      <c r="K98" s="14"/>
      <c r="L98" s="14"/>
      <c r="M98" s="14"/>
      <c r="N98" s="14"/>
      <c r="O98" s="22">
        <v>4000000</v>
      </c>
      <c r="P98" s="22"/>
      <c r="Q98" s="22"/>
    </row>
    <row r="99" spans="1:17" ht="20.25" customHeight="1">
      <c r="A99" s="110"/>
      <c r="B99" s="14" t="s">
        <v>134</v>
      </c>
      <c r="C99" s="14"/>
      <c r="D99" s="14"/>
      <c r="E99" s="14"/>
      <c r="F99" s="14"/>
      <c r="G99" s="14"/>
      <c r="H99" s="109"/>
      <c r="I99" s="109"/>
      <c r="J99" s="109"/>
      <c r="K99" s="14"/>
      <c r="L99" s="14"/>
      <c r="M99" s="14"/>
      <c r="N99" s="14"/>
      <c r="O99" s="111">
        <v>4900000</v>
      </c>
      <c r="P99" s="22">
        <v>3600000</v>
      </c>
      <c r="Q99" s="22"/>
    </row>
    <row r="100" spans="1:17" ht="20.25" customHeight="1">
      <c r="A100" s="112"/>
      <c r="B100" s="113"/>
      <c r="C100" s="113"/>
      <c r="D100" s="113"/>
      <c r="E100" s="113"/>
      <c r="F100" s="113"/>
      <c r="G100" s="113"/>
      <c r="H100" s="114"/>
      <c r="I100" s="114"/>
      <c r="J100" s="114"/>
      <c r="K100" s="113"/>
      <c r="L100" s="113"/>
      <c r="M100" s="113"/>
      <c r="N100" s="113"/>
      <c r="O100" s="22">
        <f>SUM(O98:O99)</f>
        <v>8900000</v>
      </c>
      <c r="P100" s="22">
        <f>SUM(P98:P99)</f>
        <v>3600000</v>
      </c>
      <c r="Q100" s="22">
        <f>O100+P100</f>
        <v>12500000</v>
      </c>
    </row>
    <row r="101" ht="20.25" customHeight="1">
      <c r="A101" s="115" t="s">
        <v>135</v>
      </c>
    </row>
    <row r="102" spans="1:14" ht="20.25" customHeight="1">
      <c r="A102" s="116" t="s">
        <v>136</v>
      </c>
      <c r="B102" s="117">
        <v>1228941.08</v>
      </c>
      <c r="C102" s="117"/>
      <c r="D102" s="117"/>
      <c r="E102" s="117"/>
      <c r="F102" s="117"/>
      <c r="G102" s="117"/>
      <c r="H102" s="118"/>
      <c r="I102" s="118"/>
      <c r="J102" s="118"/>
      <c r="K102" s="117"/>
      <c r="L102" s="117"/>
      <c r="M102" s="117"/>
      <c r="N102" s="117"/>
    </row>
    <row r="103" spans="1:14" ht="20.25" customHeight="1">
      <c r="A103" s="116" t="s">
        <v>137</v>
      </c>
      <c r="B103" s="23">
        <v>15000</v>
      </c>
      <c r="C103" s="23"/>
      <c r="D103" s="23"/>
      <c r="E103" s="23"/>
      <c r="F103" s="23"/>
      <c r="G103" s="23"/>
      <c r="H103" s="119"/>
      <c r="I103" s="119"/>
      <c r="J103" s="119"/>
      <c r="K103" s="23"/>
      <c r="L103" s="23"/>
      <c r="M103" s="23"/>
      <c r="N103" s="23"/>
    </row>
    <row r="104" spans="1:14" ht="20.25" customHeight="1">
      <c r="A104" s="116" t="s">
        <v>138</v>
      </c>
      <c r="B104" s="117">
        <v>9363.74</v>
      </c>
      <c r="C104" s="117"/>
      <c r="D104" s="117"/>
      <c r="E104" s="117"/>
      <c r="F104" s="117"/>
      <c r="G104" s="117"/>
      <c r="H104" s="118"/>
      <c r="I104" s="118"/>
      <c r="J104" s="118"/>
      <c r="K104" s="117"/>
      <c r="L104" s="117"/>
      <c r="M104" s="117"/>
      <c r="N104" s="117"/>
    </row>
    <row r="105" spans="2:14" ht="20.25" customHeight="1">
      <c r="B105" s="120">
        <f>SUM(B102:B104)</f>
        <v>1253304.82</v>
      </c>
      <c r="C105" s="120"/>
      <c r="D105" s="120"/>
      <c r="E105" s="120"/>
      <c r="F105" s="120"/>
      <c r="G105" s="120"/>
      <c r="H105" s="121"/>
      <c r="I105" s="121"/>
      <c r="J105" s="121"/>
      <c r="K105" s="120"/>
      <c r="L105" s="120"/>
      <c r="M105" s="120"/>
      <c r="N105" s="120"/>
    </row>
    <row r="106" ht="20.25" customHeight="1">
      <c r="A106" s="122" t="s">
        <v>139</v>
      </c>
    </row>
    <row r="107" spans="1:14" ht="20.25" customHeight="1">
      <c r="A107" s="116" t="s">
        <v>136</v>
      </c>
      <c r="B107" s="117">
        <v>4301293.74</v>
      </c>
      <c r="C107" s="117"/>
      <c r="D107" s="117"/>
      <c r="E107" s="117"/>
      <c r="F107" s="117"/>
      <c r="G107" s="117"/>
      <c r="H107" s="118"/>
      <c r="I107" s="118"/>
      <c r="J107" s="118"/>
      <c r="K107" s="117"/>
      <c r="L107" s="117"/>
      <c r="M107" s="117"/>
      <c r="N107" s="117"/>
    </row>
    <row r="108" spans="1:14" ht="20.25" customHeight="1">
      <c r="A108" s="116" t="s">
        <v>140</v>
      </c>
      <c r="B108" s="117">
        <v>48190</v>
      </c>
      <c r="C108" s="117"/>
      <c r="D108" s="117"/>
      <c r="E108" s="117"/>
      <c r="F108" s="117"/>
      <c r="G108" s="117"/>
      <c r="H108" s="118"/>
      <c r="I108" s="118"/>
      <c r="J108" s="118"/>
      <c r="K108" s="117"/>
      <c r="L108" s="117"/>
      <c r="M108" s="117"/>
      <c r="N108" s="117"/>
    </row>
    <row r="109" spans="1:14" ht="20.25" customHeight="1">
      <c r="A109" s="116" t="s">
        <v>141</v>
      </c>
      <c r="B109" s="117">
        <v>49483.2</v>
      </c>
      <c r="C109" s="117"/>
      <c r="D109" s="117"/>
      <c r="E109" s="117"/>
      <c r="F109" s="117"/>
      <c r="G109" s="117"/>
      <c r="H109" s="118"/>
      <c r="I109" s="118"/>
      <c r="J109" s="118"/>
      <c r="K109" s="117"/>
      <c r="L109" s="117"/>
      <c r="M109" s="117"/>
      <c r="N109" s="117"/>
    </row>
    <row r="110" spans="1:14" ht="20.25" customHeight="1">
      <c r="A110" s="116" t="s">
        <v>142</v>
      </c>
      <c r="B110" s="117">
        <v>46818.72</v>
      </c>
      <c r="C110" s="117"/>
      <c r="D110" s="117"/>
      <c r="E110" s="117"/>
      <c r="F110" s="117"/>
      <c r="G110" s="117"/>
      <c r="H110" s="118"/>
      <c r="I110" s="118"/>
      <c r="J110" s="118"/>
      <c r="K110" s="117"/>
      <c r="L110" s="117"/>
      <c r="M110" s="117"/>
      <c r="N110" s="117"/>
    </row>
    <row r="111" spans="1:14" ht="20.25" customHeight="1">
      <c r="A111" s="116" t="s">
        <v>138</v>
      </c>
      <c r="B111" s="117">
        <v>37454.98</v>
      </c>
      <c r="C111" s="117"/>
      <c r="D111" s="117"/>
      <c r="E111" s="117"/>
      <c r="F111" s="117"/>
      <c r="G111" s="117"/>
      <c r="H111" s="118"/>
      <c r="I111" s="118"/>
      <c r="J111" s="118"/>
      <c r="K111" s="117"/>
      <c r="L111" s="117"/>
      <c r="M111" s="117"/>
      <c r="N111" s="117"/>
    </row>
    <row r="112" spans="1:14" ht="20.25" customHeight="1">
      <c r="A112" s="116" t="s">
        <v>143</v>
      </c>
      <c r="B112" s="23">
        <v>756.4</v>
      </c>
      <c r="C112" s="23"/>
      <c r="D112" s="23"/>
      <c r="E112" s="23"/>
      <c r="F112" s="23"/>
      <c r="G112" s="23"/>
      <c r="H112" s="119"/>
      <c r="I112" s="119"/>
      <c r="J112" s="119"/>
      <c r="K112" s="23"/>
      <c r="L112" s="23"/>
      <c r="M112" s="23"/>
      <c r="N112" s="23"/>
    </row>
    <row r="113" spans="1:14" ht="20.25" customHeight="1">
      <c r="A113" s="116" t="s">
        <v>144</v>
      </c>
      <c r="B113" s="117">
        <v>39079.04</v>
      </c>
      <c r="C113" s="117"/>
      <c r="D113" s="117"/>
      <c r="E113" s="117"/>
      <c r="F113" s="117"/>
      <c r="G113" s="117"/>
      <c r="H113" s="118"/>
      <c r="I113" s="118"/>
      <c r="J113" s="118"/>
      <c r="K113" s="117"/>
      <c r="L113" s="117"/>
      <c r="M113" s="117"/>
      <c r="N113" s="117"/>
    </row>
    <row r="114" spans="1:14" ht="20.25" customHeight="1">
      <c r="A114" s="116"/>
      <c r="B114" s="120">
        <f>SUM(B107:B113)</f>
        <v>4523076.080000001</v>
      </c>
      <c r="C114" s="120"/>
      <c r="D114" s="120"/>
      <c r="E114" s="120"/>
      <c r="F114" s="120"/>
      <c r="G114" s="120"/>
      <c r="H114" s="121"/>
      <c r="I114" s="121"/>
      <c r="J114" s="121"/>
      <c r="K114" s="120"/>
      <c r="L114" s="120"/>
      <c r="M114" s="120"/>
      <c r="N114" s="120"/>
    </row>
    <row r="116" spans="1:14" ht="20.25" customHeight="1">
      <c r="A116" s="123" t="s">
        <v>145</v>
      </c>
      <c r="B116" s="120">
        <f>B114+B105</f>
        <v>5776380.900000001</v>
      </c>
      <c r="C116" s="120"/>
      <c r="D116" s="120"/>
      <c r="E116" s="120"/>
      <c r="F116" s="120"/>
      <c r="G116" s="120"/>
      <c r="H116" s="121"/>
      <c r="I116" s="121"/>
      <c r="J116" s="121"/>
      <c r="K116" s="120"/>
      <c r="L116" s="120"/>
      <c r="M116" s="120"/>
      <c r="N116" s="120"/>
    </row>
    <row r="117" spans="1:14" ht="20.25" customHeight="1">
      <c r="A117" s="116" t="s">
        <v>146</v>
      </c>
      <c r="B117" s="120">
        <v>4900000</v>
      </c>
      <c r="C117" s="120"/>
      <c r="D117" s="120"/>
      <c r="E117" s="120"/>
      <c r="F117" s="120"/>
      <c r="G117" s="120"/>
      <c r="H117" s="121"/>
      <c r="I117" s="121"/>
      <c r="J117" s="121"/>
      <c r="K117" s="120"/>
      <c r="L117" s="120"/>
      <c r="M117" s="120"/>
      <c r="N117" s="120"/>
    </row>
    <row r="118" spans="1:14" ht="20.25" customHeight="1">
      <c r="A118" s="116" t="s">
        <v>147</v>
      </c>
      <c r="B118" s="120">
        <f>B116-B117</f>
        <v>876380.9000000013</v>
      </c>
      <c r="C118" s="120"/>
      <c r="D118" s="120"/>
      <c r="E118" s="120"/>
      <c r="F118" s="120"/>
      <c r="G118" s="120"/>
      <c r="H118" s="121"/>
      <c r="I118" s="121"/>
      <c r="J118" s="121"/>
      <c r="K118" s="120"/>
      <c r="L118" s="120"/>
      <c r="M118" s="120"/>
      <c r="N118" s="120"/>
    </row>
  </sheetData>
  <sheetProtection selectLockedCells="1" selectUnlockedCells="1"/>
  <mergeCells count="5">
    <mergeCell ref="A97:B97"/>
    <mergeCell ref="B2:C2"/>
    <mergeCell ref="D2:F2"/>
    <mergeCell ref="H2:J2"/>
    <mergeCell ref="D3:F3"/>
  </mergeCells>
  <printOptions horizontalCentered="1" verticalCentered="1"/>
  <pageMargins left="0.1597222222222222" right="0.15763888888888888" top="0.5902777777777778" bottom="0.32013888888888886" header="0.5902777777777778" footer="0.5118055555555555"/>
  <pageSetup horizontalDpi="300" verticalDpi="300" orientation="portrait" paperSize="8" scale="48" r:id="rId1"/>
  <headerFooter alignWithMargins="0">
    <oddHeader>&amp;C&amp;"-,Standard"&amp;12LAVORI COMPLETAMENTO &amp;A
QUADRO TECNICO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90" zoomScaleNormal="90" zoomScaleSheetLayoutView="90" workbookViewId="0" topLeftCell="A1">
      <selection activeCell="A14" sqref="A14"/>
    </sheetView>
  </sheetViews>
  <sheetFormatPr defaultColWidth="9.140625" defaultRowHeight="20.25" customHeight="1"/>
  <cols>
    <col min="1" max="1" width="86.7109375" style="54" customWidth="1"/>
    <col min="2" max="2" width="17.28125" style="2" customWidth="1"/>
    <col min="3" max="3" width="13.7109375" style="2" customWidth="1"/>
    <col min="4" max="5" width="17.8515625" style="2" customWidth="1"/>
    <col min="6" max="6" width="25.8515625" style="2" customWidth="1"/>
    <col min="7" max="7" width="13.421875" style="2" customWidth="1"/>
    <col min="8" max="16384" width="9.140625" style="2" customWidth="1"/>
  </cols>
  <sheetData>
    <row r="1" ht="12.75" customHeight="1">
      <c r="A1" s="124"/>
    </row>
    <row r="2" ht="12.75" customHeight="1">
      <c r="A2" s="125" t="s">
        <v>0</v>
      </c>
    </row>
    <row r="3" spans="1:3" ht="22.5" customHeight="1">
      <c r="A3" s="124"/>
      <c r="C3" s="2" t="s">
        <v>148</v>
      </c>
    </row>
    <row r="4" spans="1:6" ht="27.75" customHeight="1">
      <c r="A4" s="126" t="s">
        <v>5</v>
      </c>
      <c r="B4" s="13" t="s">
        <v>149</v>
      </c>
      <c r="C4" s="13"/>
      <c r="D4" s="13" t="s">
        <v>10</v>
      </c>
      <c r="E4" s="13" t="s">
        <v>11</v>
      </c>
      <c r="F4" s="14" t="s">
        <v>21</v>
      </c>
    </row>
    <row r="5" spans="1:6" ht="22.5" customHeight="1">
      <c r="A5" s="44" t="s">
        <v>150</v>
      </c>
      <c r="B5" s="22">
        <v>95466.64</v>
      </c>
      <c r="C5" s="22"/>
      <c r="D5" s="22"/>
      <c r="E5" s="23"/>
      <c r="F5" s="23"/>
    </row>
    <row r="6" spans="1:6" ht="22.5" customHeight="1">
      <c r="A6" s="44" t="s">
        <v>151</v>
      </c>
      <c r="B6" s="22">
        <v>7236794.98</v>
      </c>
      <c r="C6" s="22"/>
      <c r="D6" s="23"/>
      <c r="E6" s="23"/>
      <c r="F6" s="23"/>
    </row>
    <row r="7" spans="1:6" ht="27" customHeight="1">
      <c r="A7" s="44" t="s">
        <v>48</v>
      </c>
      <c r="B7" s="22">
        <v>192393.13</v>
      </c>
      <c r="C7" s="22"/>
      <c r="D7" s="47"/>
      <c r="E7" s="23"/>
      <c r="F7" s="23"/>
    </row>
    <row r="8" spans="1:6" ht="21" customHeight="1">
      <c r="A8" s="44" t="s">
        <v>49</v>
      </c>
      <c r="B8" s="49">
        <f>SUM(B5:B7)</f>
        <v>7524654.75</v>
      </c>
      <c r="C8" s="49"/>
      <c r="D8" s="49"/>
      <c r="E8" s="49"/>
      <c r="F8" s="23"/>
    </row>
    <row r="9" spans="1:6" s="54" customFormat="1" ht="30" customHeight="1">
      <c r="A9" s="51" t="s">
        <v>50</v>
      </c>
      <c r="B9" s="22">
        <v>192393.13</v>
      </c>
      <c r="C9" s="22"/>
      <c r="D9" s="52"/>
      <c r="E9" s="53"/>
      <c r="F9" s="53"/>
    </row>
    <row r="10" spans="1:6" s="54" customFormat="1" ht="15" customHeight="1">
      <c r="A10" s="51" t="s">
        <v>51</v>
      </c>
      <c r="B10" s="22">
        <v>17828.42</v>
      </c>
      <c r="C10" s="22"/>
      <c r="D10" s="52"/>
      <c r="E10" s="53"/>
      <c r="F10" s="53"/>
    </row>
    <row r="11" spans="1:6" s="54" customFormat="1" ht="22.5" customHeight="1">
      <c r="A11" s="51" t="s">
        <v>52</v>
      </c>
      <c r="B11" s="47">
        <v>1011328.22</v>
      </c>
      <c r="C11" s="47"/>
      <c r="D11" s="52"/>
      <c r="E11" s="53"/>
      <c r="F11" s="53"/>
    </row>
    <row r="12" spans="1:6" s="54" customFormat="1" ht="22.5" customHeight="1">
      <c r="A12" s="59" t="s">
        <v>53</v>
      </c>
      <c r="B12" s="61">
        <f>B8-B9</f>
        <v>7332261.62</v>
      </c>
      <c r="C12" s="61"/>
      <c r="D12" s="52"/>
      <c r="E12" s="53"/>
      <c r="F12" s="53"/>
    </row>
    <row r="13" spans="1:6" s="54" customFormat="1" ht="31.5" customHeight="1">
      <c r="A13" s="44" t="s">
        <v>152</v>
      </c>
      <c r="B13" s="49">
        <f>B8-B14</f>
        <v>2488011.0199999996</v>
      </c>
      <c r="C13" s="49"/>
      <c r="D13" s="52"/>
      <c r="E13" s="53"/>
      <c r="F13" s="53"/>
    </row>
    <row r="14" spans="1:6" s="54" customFormat="1" ht="31.5" customHeight="1">
      <c r="A14" s="44" t="s">
        <v>153</v>
      </c>
      <c r="B14" s="49">
        <v>5036643.73</v>
      </c>
      <c r="C14" s="49"/>
      <c r="D14" s="49">
        <v>3845996.75</v>
      </c>
      <c r="E14" s="49">
        <f>B14-D14</f>
        <v>1190646.9800000004</v>
      </c>
      <c r="F14" s="64" t="s">
        <v>154</v>
      </c>
    </row>
    <row r="15" spans="1:6" s="54" customFormat="1" ht="22.5" customHeight="1">
      <c r="A15" s="127"/>
      <c r="B15" s="128"/>
      <c r="C15" s="128"/>
      <c r="D15" s="52"/>
      <c r="E15" s="53"/>
      <c r="F15" s="53"/>
    </row>
    <row r="16" spans="1:6" s="54" customFormat="1" ht="22.5" customHeight="1">
      <c r="A16" s="126" t="s">
        <v>67</v>
      </c>
      <c r="B16" s="128"/>
      <c r="C16" s="128"/>
      <c r="D16" s="52"/>
      <c r="E16" s="53"/>
      <c r="F16" s="53"/>
    </row>
    <row r="17" spans="1:6" s="54" customFormat="1" ht="30.75" customHeight="1">
      <c r="A17" s="94" t="s">
        <v>68</v>
      </c>
      <c r="B17" s="22">
        <v>2492450.58</v>
      </c>
      <c r="C17" s="22"/>
      <c r="D17" s="22"/>
      <c r="E17" s="22">
        <v>2492450.58</v>
      </c>
      <c r="F17" s="53"/>
    </row>
    <row r="18" spans="1:6" s="54" customFormat="1" ht="30.75" customHeight="1">
      <c r="A18" s="94" t="s">
        <v>69</v>
      </c>
      <c r="B18" s="22">
        <v>55161.48</v>
      </c>
      <c r="C18" s="22"/>
      <c r="D18" s="22"/>
      <c r="E18" s="22">
        <v>55161.48</v>
      </c>
      <c r="F18" s="53"/>
    </row>
    <row r="19" spans="1:6" s="54" customFormat="1" ht="22.5" customHeight="1">
      <c r="A19" s="129" t="s">
        <v>70</v>
      </c>
      <c r="B19" s="22">
        <v>109800</v>
      </c>
      <c r="C19" s="22"/>
      <c r="D19" s="22"/>
      <c r="E19" s="22">
        <v>109800</v>
      </c>
      <c r="F19" s="53"/>
    </row>
    <row r="20" spans="1:6" s="54" customFormat="1" ht="22.5" customHeight="1">
      <c r="A20" s="129" t="s">
        <v>72</v>
      </c>
      <c r="B20" s="22">
        <v>610000</v>
      </c>
      <c r="C20" s="22"/>
      <c r="D20" s="22"/>
      <c r="E20" s="22">
        <v>610000</v>
      </c>
      <c r="F20" s="53"/>
    </row>
    <row r="21" spans="1:6" s="54" customFormat="1" ht="22.5" customHeight="1">
      <c r="A21" s="129" t="s">
        <v>73</v>
      </c>
      <c r="B21" s="22">
        <v>488000</v>
      </c>
      <c r="C21" s="22"/>
      <c r="D21" s="22"/>
      <c r="E21" s="22">
        <v>488000</v>
      </c>
      <c r="F21" s="53"/>
    </row>
    <row r="22" spans="1:6" s="54" customFormat="1" ht="22.5" customHeight="1">
      <c r="A22" s="129" t="s">
        <v>74</v>
      </c>
      <c r="B22" s="22">
        <v>48800</v>
      </c>
      <c r="C22" s="22"/>
      <c r="D22" s="22"/>
      <c r="E22" s="22">
        <v>48800</v>
      </c>
      <c r="F22" s="53"/>
    </row>
    <row r="23" spans="1:6" s="54" customFormat="1" ht="22.5" customHeight="1">
      <c r="A23" s="129" t="s">
        <v>76</v>
      </c>
      <c r="B23" s="22">
        <v>24400</v>
      </c>
      <c r="C23" s="22"/>
      <c r="D23" s="22"/>
      <c r="E23" s="22">
        <v>24400</v>
      </c>
      <c r="F23" s="53"/>
    </row>
    <row r="24" spans="1:6" ht="22.5" customHeight="1">
      <c r="A24" s="129" t="s">
        <v>78</v>
      </c>
      <c r="B24" s="22">
        <v>1224541.08</v>
      </c>
      <c r="C24" s="22"/>
      <c r="D24" s="22"/>
      <c r="E24" s="22">
        <v>1224541.08</v>
      </c>
      <c r="F24" s="23"/>
    </row>
    <row r="25" spans="1:6" ht="35.25" customHeight="1">
      <c r="A25" s="94" t="s">
        <v>80</v>
      </c>
      <c r="B25" s="22">
        <v>184800.78</v>
      </c>
      <c r="C25" s="22"/>
      <c r="D25" s="22"/>
      <c r="E25" s="22">
        <v>184800.78</v>
      </c>
      <c r="F25" s="23"/>
    </row>
    <row r="26" spans="1:6" ht="30" customHeight="1">
      <c r="A26" s="94" t="s">
        <v>86</v>
      </c>
      <c r="B26" s="85">
        <v>141592.7202</v>
      </c>
      <c r="C26" s="85"/>
      <c r="D26" s="22"/>
      <c r="E26" s="22">
        <f>B26-D26</f>
        <v>141592.7202</v>
      </c>
      <c r="F26" s="23"/>
    </row>
    <row r="27" spans="1:6" ht="30" customHeight="1">
      <c r="A27" s="94" t="s">
        <v>87</v>
      </c>
      <c r="B27" s="85">
        <v>242089.0803</v>
      </c>
      <c r="C27" s="85"/>
      <c r="D27" s="22"/>
      <c r="E27" s="22">
        <f>B27-D27</f>
        <v>242089.0803</v>
      </c>
      <c r="F27" s="23"/>
    </row>
    <row r="28" spans="1:6" ht="30" customHeight="1">
      <c r="A28" s="87" t="s">
        <v>88</v>
      </c>
      <c r="B28" s="22">
        <v>15000</v>
      </c>
      <c r="C28" s="22"/>
      <c r="D28" s="22">
        <v>15000</v>
      </c>
      <c r="E28" s="22">
        <f>B28-D28</f>
        <v>0</v>
      </c>
      <c r="F28" s="64" t="s">
        <v>89</v>
      </c>
    </row>
    <row r="29" spans="1:6" ht="30" customHeight="1">
      <c r="A29" s="129" t="s">
        <v>90</v>
      </c>
      <c r="B29" s="22">
        <v>256151.2</v>
      </c>
      <c r="C29" s="22"/>
      <c r="D29" s="22"/>
      <c r="E29" s="22">
        <v>256151.2</v>
      </c>
      <c r="F29" s="23"/>
    </row>
    <row r="30" spans="1:6" ht="30" customHeight="1">
      <c r="A30" s="87" t="s">
        <v>92</v>
      </c>
      <c r="B30" s="22">
        <v>49483.2</v>
      </c>
      <c r="C30" s="22"/>
      <c r="D30" s="22">
        <v>39586.56</v>
      </c>
      <c r="E30" s="22">
        <v>9896.64</v>
      </c>
      <c r="F30" s="64" t="s">
        <v>93</v>
      </c>
    </row>
    <row r="31" spans="1:6" ht="30" customHeight="1">
      <c r="A31" s="87" t="s">
        <v>155</v>
      </c>
      <c r="B31" s="22">
        <v>48190</v>
      </c>
      <c r="C31" s="22"/>
      <c r="D31" s="22">
        <v>38552</v>
      </c>
      <c r="E31" s="22">
        <v>9638</v>
      </c>
      <c r="F31" s="64" t="s">
        <v>95</v>
      </c>
    </row>
    <row r="32" spans="1:6" ht="30" customHeight="1">
      <c r="A32" s="87" t="s">
        <v>156</v>
      </c>
      <c r="B32" s="22">
        <v>46818.72</v>
      </c>
      <c r="C32" s="22"/>
      <c r="D32" s="22">
        <v>37454.98</v>
      </c>
      <c r="E32" s="22">
        <v>9363.74</v>
      </c>
      <c r="F32" s="64" t="s">
        <v>99</v>
      </c>
    </row>
    <row r="33" spans="1:6" ht="30" customHeight="1">
      <c r="A33" s="87" t="s">
        <v>157</v>
      </c>
      <c r="B33" s="22">
        <v>46818.72</v>
      </c>
      <c r="C33" s="22"/>
      <c r="D33" s="22">
        <v>37454.98</v>
      </c>
      <c r="E33" s="22">
        <v>9363.74</v>
      </c>
      <c r="F33" s="64" t="s">
        <v>158</v>
      </c>
    </row>
    <row r="34" spans="1:6" ht="30" customHeight="1">
      <c r="A34" s="130" t="s">
        <v>159</v>
      </c>
      <c r="B34" s="22">
        <v>48848.8</v>
      </c>
      <c r="C34" s="22"/>
      <c r="D34" s="22">
        <v>39079.04</v>
      </c>
      <c r="E34" s="22">
        <f>B34-D34</f>
        <v>9769.760000000002</v>
      </c>
      <c r="F34" s="64" t="s">
        <v>160</v>
      </c>
    </row>
    <row r="35" spans="1:6" ht="30" customHeight="1">
      <c r="A35" s="94" t="s">
        <v>161</v>
      </c>
      <c r="B35" s="22">
        <v>61000</v>
      </c>
      <c r="C35" s="22"/>
      <c r="D35" s="22"/>
      <c r="E35" s="22">
        <v>61000</v>
      </c>
      <c r="F35" s="23"/>
    </row>
    <row r="36" spans="1:6" ht="30" customHeight="1">
      <c r="A36" s="94" t="s">
        <v>116</v>
      </c>
      <c r="B36" s="22">
        <v>14348.3</v>
      </c>
      <c r="C36" s="22"/>
      <c r="D36" s="22"/>
      <c r="E36" s="22">
        <f>D36</f>
        <v>0</v>
      </c>
      <c r="F36" s="23"/>
    </row>
    <row r="37" spans="1:6" ht="30" customHeight="1">
      <c r="A37" s="94" t="s">
        <v>117</v>
      </c>
      <c r="B37" s="22">
        <v>10000</v>
      </c>
      <c r="C37" s="22"/>
      <c r="D37" s="22"/>
      <c r="E37" s="22">
        <f>D37</f>
        <v>0</v>
      </c>
      <c r="F37" s="23"/>
    </row>
    <row r="38" spans="1:6" ht="22.5" customHeight="1">
      <c r="A38" s="94" t="s">
        <v>118</v>
      </c>
      <c r="B38" s="22">
        <v>14243.6</v>
      </c>
      <c r="C38" s="22"/>
      <c r="D38" s="22"/>
      <c r="E38" s="22">
        <f>D38</f>
        <v>0</v>
      </c>
      <c r="F38" s="23"/>
    </row>
    <row r="39" spans="1:6" ht="22.5" customHeight="1">
      <c r="A39" s="94" t="s">
        <v>119</v>
      </c>
      <c r="B39" s="22">
        <v>756.4</v>
      </c>
      <c r="C39" s="22"/>
      <c r="D39" s="22">
        <v>756.4</v>
      </c>
      <c r="E39" s="22"/>
      <c r="F39" s="64" t="s">
        <v>120</v>
      </c>
    </row>
    <row r="40" spans="1:6" ht="28.5" customHeight="1">
      <c r="A40" s="94" t="s">
        <v>121</v>
      </c>
      <c r="B40" s="22">
        <v>122000</v>
      </c>
      <c r="C40" s="22"/>
      <c r="D40" s="22"/>
      <c r="E40" s="22">
        <v>122000</v>
      </c>
      <c r="F40" s="23"/>
    </row>
    <row r="41" spans="1:6" ht="36" customHeight="1">
      <c r="A41" s="94" t="s">
        <v>162</v>
      </c>
      <c r="B41" s="22">
        <f>B14*22/100</f>
        <v>1108061.6206</v>
      </c>
      <c r="C41" s="22"/>
      <c r="D41" s="22">
        <f>D14*22/100</f>
        <v>846119.285</v>
      </c>
      <c r="E41" s="22">
        <f>E14*22/100</f>
        <v>261942.3356000001</v>
      </c>
      <c r="F41" s="64" t="s">
        <v>154</v>
      </c>
    </row>
    <row r="42" spans="1:6" ht="22.5" customHeight="1">
      <c r="A42" s="131" t="s">
        <v>49</v>
      </c>
      <c r="B42" s="49">
        <f>SUM(B17:B41)</f>
        <v>7463356.2811</v>
      </c>
      <c r="C42" s="49"/>
      <c r="D42" s="49">
        <f>SUM(D17:D41)</f>
        <v>1054003.245</v>
      </c>
      <c r="E42" s="49">
        <f>SUM(E17:E41)</f>
        <v>6370761.136100001</v>
      </c>
      <c r="F42" s="23"/>
    </row>
    <row r="43" spans="1:6" ht="24.75" customHeight="1">
      <c r="A43" s="132" t="s">
        <v>124</v>
      </c>
      <c r="B43" s="49">
        <f>B14+B42-0.01</f>
        <v>12500000.001100002</v>
      </c>
      <c r="C43" s="49"/>
      <c r="D43" s="49">
        <f>D14+D42</f>
        <v>4899999.995</v>
      </c>
      <c r="E43" s="49">
        <f>E14+E42</f>
        <v>7561408.116100001</v>
      </c>
      <c r="F43" s="23"/>
    </row>
    <row r="44" spans="1:3" ht="20.25" customHeight="1">
      <c r="A44" s="133" t="s">
        <v>125</v>
      </c>
      <c r="B44" s="97">
        <f>B14+B41</f>
        <v>6144705.3506000005</v>
      </c>
      <c r="C44" s="97"/>
    </row>
    <row r="65496" ht="12.75" customHeight="1"/>
  </sheetData>
  <sheetProtection selectLockedCells="1" selectUnlockedCells="1"/>
  <printOptions horizontalCentered="1"/>
  <pageMargins left="0.1597222222222222" right="0.15763888888888888" top="0.5902777777777778" bottom="0.32013888888888886" header="0.5902777777777778" footer="0.5118055555555555"/>
  <pageSetup horizontalDpi="300" verticalDpi="300" orientation="portrait" paperSize="8" scale="70" r:id="rId1"/>
  <headerFooter alignWithMargins="0">
    <oddHeader>&amp;C&amp;"-,Standard"&amp;12LAVORI COMPLETAMENTO &amp;A
QUADRO TECNICO ECONOMICO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8"/>
  <sheetViews>
    <sheetView view="pageBreakPreview" zoomScale="90" zoomScaleNormal="90" zoomScaleSheetLayoutView="90" workbookViewId="0" topLeftCell="B1">
      <selection activeCell="E6" sqref="E6"/>
    </sheetView>
  </sheetViews>
  <sheetFormatPr defaultColWidth="9.140625" defaultRowHeight="20.25" customHeight="1"/>
  <cols>
    <col min="1" max="1" width="4.7109375" style="2" customWidth="1"/>
    <col min="2" max="2" width="67.140625" style="54" customWidth="1"/>
    <col min="3" max="3" width="18.140625" style="134" customWidth="1"/>
    <col min="4" max="4" width="0" style="2" hidden="1" customWidth="1"/>
    <col min="5" max="5" width="20.421875" style="2" customWidth="1"/>
    <col min="6" max="6" width="18.140625" style="2" customWidth="1"/>
    <col min="7" max="7" width="16.421875" style="2" customWidth="1"/>
    <col min="8" max="8" width="11.140625" style="2" customWidth="1"/>
    <col min="9" max="9" width="13.421875" style="2" customWidth="1"/>
    <col min="10" max="10" width="16.7109375" style="2" customWidth="1"/>
    <col min="11" max="11" width="13.28125" style="2" customWidth="1"/>
    <col min="12" max="16384" width="9.140625" style="2" customWidth="1"/>
  </cols>
  <sheetData>
    <row r="1" spans="2:8" ht="12.75" customHeight="1">
      <c r="B1" s="177" t="s">
        <v>163</v>
      </c>
      <c r="C1" s="177"/>
      <c r="D1" s="177"/>
      <c r="F1" s="178"/>
      <c r="G1" s="178"/>
      <c r="H1" s="178"/>
    </row>
    <row r="2" ht="12.75" customHeight="1">
      <c r="B2" s="124"/>
    </row>
    <row r="3" ht="12.75" customHeight="1">
      <c r="B3" s="124"/>
    </row>
    <row r="4" spans="2:4" ht="12.75" customHeight="1">
      <c r="B4" s="125" t="s">
        <v>0</v>
      </c>
      <c r="C4" s="135"/>
      <c r="D4" s="136"/>
    </row>
    <row r="5" spans="2:4" ht="22.5" customHeight="1">
      <c r="B5" s="124"/>
      <c r="C5" s="137"/>
      <c r="D5" s="138"/>
    </row>
    <row r="6" spans="2:7" ht="27.75" customHeight="1">
      <c r="B6" s="139" t="s">
        <v>5</v>
      </c>
      <c r="C6" s="140" t="s">
        <v>164</v>
      </c>
      <c r="D6" s="139" t="s">
        <v>165</v>
      </c>
      <c r="E6" s="141" t="s">
        <v>166</v>
      </c>
      <c r="F6" s="141" t="s">
        <v>10</v>
      </c>
      <c r="G6" s="141" t="s">
        <v>11</v>
      </c>
    </row>
    <row r="7" spans="2:7" ht="22.5" customHeight="1">
      <c r="B7" s="51" t="s">
        <v>150</v>
      </c>
      <c r="C7" s="85">
        <v>95466.64</v>
      </c>
      <c r="D7" s="142"/>
      <c r="E7" s="143"/>
      <c r="F7" s="85"/>
      <c r="G7" s="143"/>
    </row>
    <row r="8" spans="2:7" ht="22.5" customHeight="1">
      <c r="B8" s="51" t="s">
        <v>151</v>
      </c>
      <c r="C8" s="85">
        <v>7236794.98</v>
      </c>
      <c r="D8" s="142"/>
      <c r="E8" s="143"/>
      <c r="F8" s="143"/>
      <c r="G8" s="143"/>
    </row>
    <row r="9" spans="2:7" ht="27" customHeight="1">
      <c r="B9" s="51" t="s">
        <v>48</v>
      </c>
      <c r="C9" s="85">
        <v>192393.13</v>
      </c>
      <c r="D9" s="142"/>
      <c r="E9" s="143"/>
      <c r="F9" s="144"/>
      <c r="G9" s="143"/>
    </row>
    <row r="10" spans="2:7" ht="21" customHeight="1">
      <c r="B10" s="51" t="s">
        <v>49</v>
      </c>
      <c r="C10" s="142">
        <f>SUM(C7:C9)</f>
        <v>7524654.75</v>
      </c>
      <c r="D10" s="145">
        <f>-C17*C15</f>
        <v>-2488011.0221377886</v>
      </c>
      <c r="E10" s="142">
        <f>C10+D10</f>
        <v>5036643.727862211</v>
      </c>
      <c r="F10" s="142">
        <f>E10*0.9</f>
        <v>4532979.35507599</v>
      </c>
      <c r="G10" s="142">
        <f>E10-F10</f>
        <v>503664.3727862211</v>
      </c>
    </row>
    <row r="11" spans="2:7" ht="26.25" customHeight="1">
      <c r="B11" s="51" t="s">
        <v>50</v>
      </c>
      <c r="C11" s="85">
        <f>C9</f>
        <v>192393.13</v>
      </c>
      <c r="D11" s="142"/>
      <c r="E11" s="143"/>
      <c r="F11" s="146"/>
      <c r="G11" s="146"/>
    </row>
    <row r="12" spans="2:7" s="3" customFormat="1" ht="22.5" customHeight="1">
      <c r="B12" s="51" t="s">
        <v>51</v>
      </c>
      <c r="C12" s="85">
        <v>17828.42</v>
      </c>
      <c r="D12" s="142"/>
      <c r="E12" s="147"/>
      <c r="F12" s="148"/>
      <c r="G12" s="148"/>
    </row>
    <row r="13" spans="2:7" s="3" customFormat="1" ht="22.5" customHeight="1">
      <c r="B13" s="51" t="s">
        <v>52</v>
      </c>
      <c r="C13" s="85">
        <v>1011328.22</v>
      </c>
      <c r="D13" s="142"/>
      <c r="E13" s="147"/>
      <c r="F13" s="148"/>
      <c r="G13" s="148"/>
    </row>
    <row r="14" spans="2:7" ht="27.75" customHeight="1">
      <c r="B14" s="59"/>
      <c r="C14" s="149"/>
      <c r="D14" s="150"/>
      <c r="E14" s="143"/>
      <c r="F14" s="143"/>
      <c r="G14" s="143"/>
    </row>
    <row r="15" spans="2:7" s="54" customFormat="1" ht="22.5" customHeight="1">
      <c r="B15" s="59" t="s">
        <v>53</v>
      </c>
      <c r="C15" s="142">
        <f>C10-C11</f>
        <v>7332261.62</v>
      </c>
      <c r="D15" s="151"/>
      <c r="E15" s="152"/>
      <c r="F15" s="153"/>
      <c r="G15" s="152"/>
    </row>
    <row r="16" spans="2:7" s="54" customFormat="1" ht="22.5" customHeight="1">
      <c r="B16" s="151"/>
      <c r="C16" s="151"/>
      <c r="D16" s="142"/>
      <c r="E16" s="154">
        <f>C15-E21</f>
        <v>2295617.8899999997</v>
      </c>
      <c r="F16" s="153"/>
      <c r="G16" s="152"/>
    </row>
    <row r="17" spans="2:7" s="54" customFormat="1" ht="22.5" customHeight="1">
      <c r="B17" s="59" t="s">
        <v>167</v>
      </c>
      <c r="C17" s="155">
        <v>0.33932382</v>
      </c>
      <c r="D17"/>
      <c r="E17" s="156"/>
      <c r="F17" s="153"/>
      <c r="G17" s="152"/>
    </row>
    <row r="18" spans="2:7" s="54" customFormat="1" ht="22.5" customHeight="1">
      <c r="B18" s="59"/>
      <c r="C18" s="157"/>
      <c r="D18" s="151"/>
      <c r="E18" s="142"/>
      <c r="F18" s="153"/>
      <c r="G18" s="152"/>
    </row>
    <row r="19" spans="2:7" s="54" customFormat="1" ht="22.5" customHeight="1">
      <c r="B19" s="59" t="s">
        <v>168</v>
      </c>
      <c r="C19" s="157"/>
      <c r="D19" s="142">
        <f>C15+D10</f>
        <v>4844250.597862212</v>
      </c>
      <c r="E19" s="151"/>
      <c r="F19" s="153"/>
      <c r="G19" s="152"/>
    </row>
    <row r="20" spans="2:7" s="54" customFormat="1" ht="31.5" customHeight="1">
      <c r="B20" s="51" t="s">
        <v>169</v>
      </c>
      <c r="C20" s="151"/>
      <c r="D20" s="142">
        <f>C11</f>
        <v>192393.13</v>
      </c>
      <c r="E20" s="142"/>
      <c r="F20" s="153"/>
      <c r="G20" s="152"/>
    </row>
    <row r="21" spans="2:7" s="54" customFormat="1" ht="31.5" customHeight="1">
      <c r="B21" s="51" t="s">
        <v>153</v>
      </c>
      <c r="C21" s="85"/>
      <c r="D21" s="142">
        <f>D19+D20</f>
        <v>5036643.727862212</v>
      </c>
      <c r="E21" s="142">
        <v>5036643.73</v>
      </c>
      <c r="F21" s="142">
        <f>E21*0.9</f>
        <v>4532979.357000001</v>
      </c>
      <c r="G21" s="142">
        <f>E21-F21</f>
        <v>503664.3729999997</v>
      </c>
    </row>
    <row r="22" spans="2:11" s="54" customFormat="1" ht="22.5" customHeight="1">
      <c r="B22" s="59"/>
      <c r="C22" s="157"/>
      <c r="D22" s="142"/>
      <c r="E22" s="158"/>
      <c r="F22" s="153"/>
      <c r="G22" s="152"/>
      <c r="J22" s="159">
        <f>E21*22/100</f>
        <v>1108061.6206</v>
      </c>
      <c r="K22" s="159">
        <f>D21+J22</f>
        <v>6144705.348462212</v>
      </c>
    </row>
    <row r="23" spans="2:7" s="54" customFormat="1" ht="22.5" customHeight="1">
      <c r="B23" s="179" t="s">
        <v>67</v>
      </c>
      <c r="C23" s="179"/>
      <c r="D23" s="179"/>
      <c r="E23" s="158"/>
      <c r="F23" s="153"/>
      <c r="G23" s="152"/>
    </row>
    <row r="24" spans="2:10" s="54" customFormat="1" ht="30.75" customHeight="1">
      <c r="B24" s="82" t="s">
        <v>170</v>
      </c>
      <c r="C24" s="85">
        <v>2042992.28</v>
      </c>
      <c r="D24" s="85"/>
      <c r="E24" s="160">
        <f aca="true" t="shared" si="0" ref="E24:E30">C24+D24</f>
        <v>2042992.28</v>
      </c>
      <c r="F24" s="85">
        <f>E24*0.6</f>
        <v>1225795.3680000002</v>
      </c>
      <c r="G24" s="85">
        <f aca="true" t="shared" si="1" ref="G24:G46">E24-F24</f>
        <v>817196.9119999998</v>
      </c>
      <c r="H24" s="124"/>
      <c r="J24" s="142">
        <f>D24+D10</f>
        <v>-2488011.0221377886</v>
      </c>
    </row>
    <row r="25" spans="2:8" s="54" customFormat="1" ht="30.75" customHeight="1">
      <c r="B25" s="82" t="s">
        <v>69</v>
      </c>
      <c r="C25" s="85"/>
      <c r="D25" s="85">
        <v>45214.33</v>
      </c>
      <c r="E25" s="160">
        <f t="shared" si="0"/>
        <v>45214.33</v>
      </c>
      <c r="F25" s="85">
        <f aca="true" t="shared" si="2" ref="F25:F30">E25*0.5</f>
        <v>22607.165</v>
      </c>
      <c r="G25" s="85">
        <f t="shared" si="1"/>
        <v>22607.165</v>
      </c>
      <c r="H25" s="124"/>
    </row>
    <row r="26" spans="2:8" s="54" customFormat="1" ht="22.5" customHeight="1">
      <c r="B26" s="161" t="s">
        <v>70</v>
      </c>
      <c r="C26" s="85">
        <v>90000</v>
      </c>
      <c r="D26" s="85">
        <v>0</v>
      </c>
      <c r="E26" s="85">
        <f t="shared" si="0"/>
        <v>90000</v>
      </c>
      <c r="F26" s="85">
        <f t="shared" si="2"/>
        <v>45000</v>
      </c>
      <c r="G26" s="85">
        <f t="shared" si="1"/>
        <v>45000</v>
      </c>
      <c r="H26" s="124"/>
    </row>
    <row r="27" spans="2:8" s="54" customFormat="1" ht="22.5" customHeight="1">
      <c r="B27" s="161" t="s">
        <v>72</v>
      </c>
      <c r="C27" s="85"/>
      <c r="D27" s="85">
        <v>500000</v>
      </c>
      <c r="E27" s="85">
        <f t="shared" si="0"/>
        <v>500000</v>
      </c>
      <c r="F27" s="85">
        <f t="shared" si="2"/>
        <v>250000</v>
      </c>
      <c r="G27" s="85">
        <f t="shared" si="1"/>
        <v>250000</v>
      </c>
      <c r="H27" s="124"/>
    </row>
    <row r="28" spans="2:8" s="54" customFormat="1" ht="22.5" customHeight="1">
      <c r="B28" s="161" t="s">
        <v>73</v>
      </c>
      <c r="C28" s="85"/>
      <c r="D28" s="85">
        <v>400000</v>
      </c>
      <c r="E28" s="85">
        <f t="shared" si="0"/>
        <v>400000</v>
      </c>
      <c r="F28" s="85">
        <f t="shared" si="2"/>
        <v>200000</v>
      </c>
      <c r="G28" s="85">
        <f t="shared" si="1"/>
        <v>200000</v>
      </c>
      <c r="H28" s="124"/>
    </row>
    <row r="29" spans="2:8" s="54" customFormat="1" ht="22.5" customHeight="1">
      <c r="B29" s="161" t="s">
        <v>74</v>
      </c>
      <c r="C29" s="85">
        <v>20000</v>
      </c>
      <c r="D29" s="85">
        <v>20000</v>
      </c>
      <c r="E29" s="85">
        <f t="shared" si="0"/>
        <v>40000</v>
      </c>
      <c r="F29" s="85">
        <f t="shared" si="2"/>
        <v>20000</v>
      </c>
      <c r="G29" s="85">
        <f t="shared" si="1"/>
        <v>20000</v>
      </c>
      <c r="H29" s="124"/>
    </row>
    <row r="30" spans="2:8" s="54" customFormat="1" ht="22.5" customHeight="1">
      <c r="B30" s="161" t="s">
        <v>76</v>
      </c>
      <c r="C30" s="85">
        <v>5000</v>
      </c>
      <c r="D30" s="85">
        <v>15000</v>
      </c>
      <c r="E30" s="85">
        <f t="shared" si="0"/>
        <v>20000</v>
      </c>
      <c r="F30" s="85">
        <f t="shared" si="2"/>
        <v>10000</v>
      </c>
      <c r="G30" s="85">
        <f t="shared" si="1"/>
        <v>10000</v>
      </c>
      <c r="H30" s="124"/>
    </row>
    <row r="31" spans="2:8" ht="22.5" customHeight="1">
      <c r="B31" s="161" t="s">
        <v>78</v>
      </c>
      <c r="C31" s="85">
        <v>80441.21</v>
      </c>
      <c r="D31" s="85">
        <f>E31-C31</f>
        <v>926887.5360000002</v>
      </c>
      <c r="E31" s="85">
        <f>0.2*E21</f>
        <v>1007328.7460000002</v>
      </c>
      <c r="F31" s="85">
        <v>0</v>
      </c>
      <c r="G31" s="85">
        <f t="shared" si="1"/>
        <v>1007328.7460000002</v>
      </c>
      <c r="H31" s="162"/>
    </row>
    <row r="32" spans="2:8" ht="35.25" customHeight="1">
      <c r="B32" s="82" t="s">
        <v>80</v>
      </c>
      <c r="C32" s="85">
        <v>0</v>
      </c>
      <c r="D32" s="85">
        <f>50000+134800.78</f>
        <v>184800.78</v>
      </c>
      <c r="E32" s="85">
        <f>C32+D32</f>
        <v>184800.78</v>
      </c>
      <c r="F32" s="85">
        <f>E32-160937.08</f>
        <v>23863.70000000001</v>
      </c>
      <c r="G32" s="85">
        <f t="shared" si="1"/>
        <v>160937.08</v>
      </c>
      <c r="H32" s="162"/>
    </row>
    <row r="33" spans="2:8" ht="30" customHeight="1">
      <c r="B33" s="82" t="s">
        <v>86</v>
      </c>
      <c r="C33" s="85">
        <v>0</v>
      </c>
      <c r="D33" s="85">
        <f>E33</f>
        <v>141592.7202</v>
      </c>
      <c r="E33" s="85">
        <f>0.02*(E21+E24)</f>
        <v>141592.7202</v>
      </c>
      <c r="F33" s="85"/>
      <c r="G33" s="85">
        <f t="shared" si="1"/>
        <v>141592.7202</v>
      </c>
      <c r="H33" s="162"/>
    </row>
    <row r="34" spans="2:8" ht="30" customHeight="1">
      <c r="B34" s="82" t="s">
        <v>87</v>
      </c>
      <c r="C34" s="85"/>
      <c r="D34" s="85">
        <f>E34</f>
        <v>242089.0803</v>
      </c>
      <c r="E34" s="85">
        <f>0.03*(E21+E24+E26+E27+E28)</f>
        <v>242089.0803</v>
      </c>
      <c r="F34" s="85"/>
      <c r="G34" s="85">
        <f t="shared" si="1"/>
        <v>242089.0803</v>
      </c>
      <c r="H34" s="162"/>
    </row>
    <row r="35" spans="2:11" ht="30" customHeight="1">
      <c r="B35" s="87" t="s">
        <v>88</v>
      </c>
      <c r="C35" s="85">
        <v>20000</v>
      </c>
      <c r="D35" s="85">
        <v>-5000</v>
      </c>
      <c r="E35" s="85">
        <f>C35+D35</f>
        <v>15000</v>
      </c>
      <c r="F35" s="85">
        <v>15000</v>
      </c>
      <c r="G35" s="85">
        <f t="shared" si="1"/>
        <v>0</v>
      </c>
      <c r="H35" s="162"/>
      <c r="J35" s="163">
        <f>E24+E25+E26+E27+E28+E31+E36+E41+E45+E29</f>
        <v>4525535.356000001</v>
      </c>
      <c r="K35" s="163">
        <f>J35*22/100</f>
        <v>995617.7783200002</v>
      </c>
    </row>
    <row r="36" spans="2:11" ht="30" customHeight="1">
      <c r="B36" s="161" t="s">
        <v>90</v>
      </c>
      <c r="C36" s="85">
        <v>150000</v>
      </c>
      <c r="D36" s="85">
        <v>100000</v>
      </c>
      <c r="E36" s="85">
        <f>C36+D36</f>
        <v>250000</v>
      </c>
      <c r="F36" s="85">
        <f>E36*0.5</f>
        <v>125000</v>
      </c>
      <c r="G36" s="85">
        <f t="shared" si="1"/>
        <v>125000</v>
      </c>
      <c r="J36" s="164">
        <f>E21</f>
        <v>5036643.73</v>
      </c>
      <c r="K36" s="163">
        <f>J36*22/100</f>
        <v>1108061.6206</v>
      </c>
    </row>
    <row r="37" spans="2:11" ht="30" customHeight="1">
      <c r="B37" s="87" t="s">
        <v>92</v>
      </c>
      <c r="C37" s="85"/>
      <c r="D37" s="85">
        <v>49483.2</v>
      </c>
      <c r="E37" s="85">
        <f>C37+D37</f>
        <v>49483.2</v>
      </c>
      <c r="F37" s="85">
        <f>E37</f>
        <v>49483.2</v>
      </c>
      <c r="G37" s="85">
        <f t="shared" si="1"/>
        <v>0</v>
      </c>
      <c r="K37" s="163">
        <f>SUM(K35:K36)</f>
        <v>2103679.39892</v>
      </c>
    </row>
    <row r="38" spans="2:11" ht="30" customHeight="1">
      <c r="B38" s="87" t="s">
        <v>155</v>
      </c>
      <c r="C38" s="85"/>
      <c r="D38" s="85">
        <v>48190</v>
      </c>
      <c r="E38" s="85">
        <f>C38+D38</f>
        <v>48190</v>
      </c>
      <c r="F38" s="85">
        <f>E38</f>
        <v>48190</v>
      </c>
      <c r="G38" s="85">
        <f t="shared" si="1"/>
        <v>0</v>
      </c>
      <c r="K38" s="163">
        <v>2094870.6</v>
      </c>
    </row>
    <row r="39" spans="2:11" ht="30" customHeight="1">
      <c r="B39" s="87" t="s">
        <v>156</v>
      </c>
      <c r="C39" s="85"/>
      <c r="D39" s="85"/>
      <c r="E39" s="85">
        <v>46818.72</v>
      </c>
      <c r="F39" s="85">
        <f>E39</f>
        <v>46818.72</v>
      </c>
      <c r="G39" s="85">
        <f t="shared" si="1"/>
        <v>0</v>
      </c>
      <c r="K39" s="163">
        <f>K38-K36</f>
        <v>986808.9794000001</v>
      </c>
    </row>
    <row r="40" spans="2:11" ht="30" customHeight="1">
      <c r="B40" s="87" t="s">
        <v>157</v>
      </c>
      <c r="C40" s="85"/>
      <c r="D40" s="85"/>
      <c r="E40" s="85">
        <v>46818.72</v>
      </c>
      <c r="F40" s="85">
        <f>E40</f>
        <v>46818.72</v>
      </c>
      <c r="G40" s="85">
        <f t="shared" si="1"/>
        <v>0</v>
      </c>
      <c r="K40" s="163"/>
    </row>
    <row r="41" spans="2:7" ht="30" customHeight="1">
      <c r="B41" s="82" t="s">
        <v>161</v>
      </c>
      <c r="C41" s="85">
        <v>50000</v>
      </c>
      <c r="D41" s="143"/>
      <c r="E41" s="85">
        <f>C41+D41</f>
        <v>50000</v>
      </c>
      <c r="F41" s="85">
        <f>E41*0.5</f>
        <v>25000</v>
      </c>
      <c r="G41" s="85">
        <f t="shared" si="1"/>
        <v>25000</v>
      </c>
    </row>
    <row r="42" spans="2:7" ht="30" customHeight="1">
      <c r="B42" s="82" t="s">
        <v>116</v>
      </c>
      <c r="C42" s="85"/>
      <c r="D42" s="85">
        <v>14348.3</v>
      </c>
      <c r="E42" s="85">
        <v>14348.3</v>
      </c>
      <c r="F42" s="85">
        <f>E42</f>
        <v>14348.3</v>
      </c>
      <c r="G42" s="85">
        <f t="shared" si="1"/>
        <v>0</v>
      </c>
    </row>
    <row r="43" spans="2:11" ht="30" customHeight="1">
      <c r="B43" s="82" t="s">
        <v>117</v>
      </c>
      <c r="C43" s="85">
        <v>10000</v>
      </c>
      <c r="D43" s="143"/>
      <c r="E43" s="85">
        <f>C43+D43</f>
        <v>10000</v>
      </c>
      <c r="F43" s="85">
        <f>E43</f>
        <v>10000</v>
      </c>
      <c r="G43" s="85">
        <f t="shared" si="1"/>
        <v>0</v>
      </c>
      <c r="J43" s="163">
        <f>J35-250000+209960</f>
        <v>4485495.356000001</v>
      </c>
      <c r="K43" s="163">
        <f>J43*22%</f>
        <v>986808.9783200001</v>
      </c>
    </row>
    <row r="44" spans="2:7" ht="22.5" customHeight="1">
      <c r="B44" s="82" t="s">
        <v>118</v>
      </c>
      <c r="C44" s="85">
        <v>15000</v>
      </c>
      <c r="D44" s="143"/>
      <c r="E44" s="85">
        <f>C44+D44</f>
        <v>15000</v>
      </c>
      <c r="F44" s="85">
        <f>E44</f>
        <v>15000</v>
      </c>
      <c r="G44" s="85">
        <f t="shared" si="1"/>
        <v>0</v>
      </c>
    </row>
    <row r="45" spans="2:7" ht="28.5" customHeight="1">
      <c r="B45" s="82" t="s">
        <v>121</v>
      </c>
      <c r="C45" s="85">
        <v>100000</v>
      </c>
      <c r="D45" s="143"/>
      <c r="E45" s="85">
        <f>C45+D45</f>
        <v>100000</v>
      </c>
      <c r="F45" s="85">
        <f>E45*0.5</f>
        <v>50000</v>
      </c>
      <c r="G45" s="85">
        <f t="shared" si="1"/>
        <v>50000</v>
      </c>
    </row>
    <row r="46" spans="2:7" ht="36" customHeight="1">
      <c r="B46" s="82" t="s">
        <v>171</v>
      </c>
      <c r="C46" s="85">
        <f>(C10+C24)*0.25</f>
        <v>2391911.7575</v>
      </c>
      <c r="D46" s="145">
        <f>-(C46-E46)</f>
        <v>-288232.35857999977</v>
      </c>
      <c r="E46" s="85">
        <f>(E21+E24+E25+E26+E27+E28+E29+E36+E45+E41+E31)*0.22</f>
        <v>2103679.39892</v>
      </c>
      <c r="F46" s="85">
        <f>(F21+F24+F25+F26+F27+F28+F29+F36+F45+F41)*0.25</f>
        <v>1624095.4725000004</v>
      </c>
      <c r="G46" s="85">
        <f t="shared" si="1"/>
        <v>479583.9264199997</v>
      </c>
    </row>
    <row r="47" spans="2:7" ht="22.5" customHeight="1">
      <c r="B47" s="165" t="s">
        <v>49</v>
      </c>
      <c r="C47" s="142">
        <f>SUM(C24:C46)</f>
        <v>4975345.2475000005</v>
      </c>
      <c r="D47" s="142"/>
      <c r="E47" s="142">
        <f>SUM(E24:E46)</f>
        <v>7463356.275420001</v>
      </c>
      <c r="F47" s="142">
        <f>SUM(F24:F46)</f>
        <v>3867020.6455000006</v>
      </c>
      <c r="G47" s="142">
        <f>SUM(G24:G46)</f>
        <v>3596335.6299199993</v>
      </c>
    </row>
    <row r="48" spans="2:7" ht="24.75" customHeight="1">
      <c r="B48" s="166" t="s">
        <v>124</v>
      </c>
      <c r="C48" s="142">
        <f>C47+C10</f>
        <v>12499999.9975</v>
      </c>
      <c r="D48" s="142"/>
      <c r="E48" s="142">
        <f>E21+E47</f>
        <v>12500000.005420001</v>
      </c>
      <c r="F48" s="142">
        <f>F21+F47</f>
        <v>8400000.002500001</v>
      </c>
      <c r="G48" s="142">
        <f>G21+G47</f>
        <v>4100000.002919999</v>
      </c>
    </row>
    <row r="65533" ht="12.75" customHeight="1"/>
  </sheetData>
  <sheetProtection selectLockedCells="1" selectUnlockedCells="1"/>
  <mergeCells count="3">
    <mergeCell ref="B1:D1"/>
    <mergeCell ref="F1:H1"/>
    <mergeCell ref="B23:D23"/>
  </mergeCells>
  <printOptions horizontalCentered="1"/>
  <pageMargins left="0.2701388888888889" right="0.15763888888888888" top="1.6" bottom="0.7479166666666667" header="0.5902777777777778" footer="0.5118055555555555"/>
  <pageSetup horizontalDpi="300" verticalDpi="300" orientation="portrait" paperSize="9" scale="59" r:id="rId1"/>
  <headerFooter alignWithMargins="0">
    <oddHeader>&amp;C&amp;"-,Standard"&amp;12LAVORI COMPLETAMENTO &amp;A
QUADRO TECNICO ECONOMICO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Normal="90" zoomScaleSheetLayoutView="90" workbookViewId="0" topLeftCell="A1">
      <selection activeCell="R17" activeCellId="1" sqref="F76 R17"/>
    </sheetView>
  </sheetViews>
  <sheetFormatPr defaultColWidth="9.140625" defaultRowHeight="12.75" customHeight="1"/>
  <sheetData>
    <row r="1" ht="12.75" customHeight="1">
      <c r="A1" s="1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balcr</cp:lastModifiedBy>
  <dcterms:created xsi:type="dcterms:W3CDTF">2018-12-20T10:00:34Z</dcterms:created>
  <dcterms:modified xsi:type="dcterms:W3CDTF">2018-12-27T10:06:09Z</dcterms:modified>
  <cp:category/>
  <cp:version/>
  <cp:contentType/>
  <cp:contentStatus/>
</cp:coreProperties>
</file>